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davidf\Desktop\Resources\Samples\"/>
    </mc:Choice>
  </mc:AlternateContent>
  <xr:revisionPtr revIDLastSave="0" documentId="13_ncr:1_{22B0891B-91AE-4A32-88B4-BB5C4EF94E73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RR" sheetId="1" r:id="rId1"/>
    <sheet name="P&amp;L" sheetId="2" r:id="rId2"/>
    <sheet name="Operating Budget" sheetId="3" r:id="rId3"/>
  </sheets>
  <externalReferences>
    <externalReference r:id="rId4"/>
    <externalReference r:id="rId5"/>
  </externalReferences>
  <definedNames>
    <definedName name="UnitLabel_Column">'[1]Unit Mix Summary'!$B:B</definedName>
    <definedName name="UnitLabel_Start">'[1]Unit Mix Summary'!$B$9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1" l="1"/>
  <c r="W25" i="1"/>
  <c r="U44" i="2"/>
  <c r="U43" i="2"/>
  <c r="U42" i="2"/>
  <c r="U38" i="2"/>
  <c r="U37" i="2"/>
  <c r="U33" i="2"/>
  <c r="U32" i="2"/>
  <c r="U31" i="2"/>
  <c r="U30" i="2"/>
  <c r="U29" i="2"/>
  <c r="U26" i="2"/>
  <c r="U23" i="2"/>
  <c r="U22" i="2"/>
  <c r="U21" i="2"/>
  <c r="U18" i="2"/>
  <c r="U16" i="2"/>
  <c r="U10" i="2"/>
  <c r="U9" i="2"/>
  <c r="U8" i="2"/>
  <c r="U7" i="2"/>
  <c r="U5" i="2"/>
  <c r="U4" i="2"/>
  <c r="T4" i="2"/>
  <c r="T44" i="2"/>
  <c r="P24" i="2"/>
  <c r="Q24" i="2"/>
  <c r="R24" i="2"/>
  <c r="S24" i="2"/>
  <c r="P34" i="2"/>
  <c r="Q34" i="2"/>
  <c r="R34" i="2"/>
  <c r="S34" i="2"/>
  <c r="P39" i="2"/>
  <c r="Q39" i="2"/>
  <c r="R39" i="2"/>
  <c r="S39" i="2"/>
  <c r="P45" i="2"/>
  <c r="Q45" i="2"/>
  <c r="R45" i="2"/>
  <c r="S45" i="2"/>
  <c r="P11" i="2"/>
  <c r="P13" i="2" s="1"/>
  <c r="Q11" i="2"/>
  <c r="Q13" i="2" s="1"/>
  <c r="R11" i="2"/>
  <c r="R13" i="2" s="1"/>
  <c r="S11" i="2"/>
  <c r="S13" i="2" s="1"/>
  <c r="W18" i="1"/>
  <c r="W19" i="1"/>
  <c r="W20" i="1"/>
  <c r="W21" i="1"/>
  <c r="M17" i="1"/>
  <c r="M18" i="1"/>
  <c r="M19" i="1"/>
  <c r="M20" i="1"/>
  <c r="M21" i="1"/>
  <c r="B41" i="3"/>
  <c r="B40" i="3"/>
  <c r="M14" i="3"/>
  <c r="M13" i="3"/>
  <c r="M12" i="3"/>
  <c r="M11" i="3"/>
  <c r="M10" i="3"/>
  <c r="J14" i="3"/>
  <c r="J13" i="3"/>
  <c r="J12" i="3"/>
  <c r="J11" i="3"/>
  <c r="J10" i="3"/>
  <c r="G14" i="3"/>
  <c r="G13" i="3"/>
  <c r="G12" i="3"/>
  <c r="G11" i="3"/>
  <c r="G10" i="3"/>
  <c r="C6" i="3"/>
  <c r="C15" i="3" s="1"/>
  <c r="F6" i="3"/>
  <c r="I6" i="3"/>
  <c r="I15" i="3" s="1"/>
  <c r="I26" i="3" s="1"/>
  <c r="L6" i="3"/>
  <c r="L15" i="3" s="1"/>
  <c r="D10" i="3"/>
  <c r="D11" i="3"/>
  <c r="D12" i="3"/>
  <c r="D13" i="3"/>
  <c r="D14" i="3"/>
  <c r="M8" i="3"/>
  <c r="M5" i="3"/>
  <c r="J8" i="3"/>
  <c r="J5" i="3"/>
  <c r="T5" i="2"/>
  <c r="T7" i="2"/>
  <c r="T8" i="2"/>
  <c r="T9" i="2"/>
  <c r="T10" i="2"/>
  <c r="T16" i="2"/>
  <c r="T18" i="2"/>
  <c r="T21" i="2"/>
  <c r="T22" i="2"/>
  <c r="T23" i="2"/>
  <c r="T26" i="2"/>
  <c r="T29" i="2"/>
  <c r="T30" i="2"/>
  <c r="T31" i="2"/>
  <c r="T32" i="2"/>
  <c r="T33" i="2"/>
  <c r="T37" i="2"/>
  <c r="T38" i="2"/>
  <c r="T42" i="2"/>
  <c r="T43" i="2"/>
  <c r="N11" i="2"/>
  <c r="N13" i="2" s="1"/>
  <c r="N47" i="2" s="1"/>
  <c r="O11" i="2"/>
  <c r="O13" i="2" s="1"/>
  <c r="N24" i="2"/>
  <c r="O24" i="2"/>
  <c r="N34" i="2"/>
  <c r="O34" i="2"/>
  <c r="N39" i="2"/>
  <c r="O39" i="2"/>
  <c r="N45" i="2"/>
  <c r="O45" i="2"/>
  <c r="S47" i="2" l="1"/>
  <c r="S49" i="2" s="1"/>
  <c r="S51" i="2" s="1"/>
  <c r="R47" i="2"/>
  <c r="R49" i="2" s="1"/>
  <c r="R51" i="2" s="1"/>
  <c r="Q47" i="2"/>
  <c r="Q49" i="2" s="1"/>
  <c r="Q51" i="2" s="1"/>
  <c r="P47" i="2"/>
  <c r="P49" i="2" s="1"/>
  <c r="P51" i="2" s="1"/>
  <c r="L26" i="3"/>
  <c r="M26" i="3" s="1"/>
  <c r="M15" i="3"/>
  <c r="M6" i="3"/>
  <c r="J15" i="3"/>
  <c r="J26" i="3"/>
  <c r="J6" i="3"/>
  <c r="N49" i="2"/>
  <c r="N51" i="2" s="1"/>
  <c r="O47" i="2"/>
  <c r="O49" i="2" s="1"/>
  <c r="O51" i="2" s="1"/>
  <c r="M9" i="1"/>
  <c r="W9" i="1"/>
  <c r="M10" i="1"/>
  <c r="W10" i="1"/>
  <c r="M11" i="1"/>
  <c r="W11" i="1"/>
  <c r="M12" i="1"/>
  <c r="W12" i="1"/>
  <c r="M13" i="1"/>
  <c r="W13" i="1"/>
  <c r="M14" i="1"/>
  <c r="W14" i="1"/>
  <c r="M15" i="1"/>
  <c r="W15" i="1"/>
  <c r="M16" i="1"/>
  <c r="W16" i="1"/>
  <c r="W17" i="1"/>
  <c r="M22" i="1"/>
  <c r="W22" i="1"/>
  <c r="M23" i="1"/>
  <c r="W23" i="1"/>
  <c r="M24" i="1"/>
  <c r="W24" i="1"/>
  <c r="M26" i="1"/>
  <c r="W26" i="1"/>
  <c r="M5" i="1"/>
  <c r="M6" i="1"/>
  <c r="M7" i="1"/>
  <c r="M8" i="1"/>
  <c r="P27" i="1"/>
  <c r="Q27" i="1"/>
  <c r="R27" i="1"/>
  <c r="S27" i="1"/>
  <c r="T27" i="1"/>
  <c r="U27" i="1"/>
  <c r="V27" i="1"/>
  <c r="W5" i="1"/>
  <c r="W6" i="1"/>
  <c r="W7" i="1"/>
  <c r="W8" i="1"/>
  <c r="G8" i="3"/>
  <c r="F15" i="3"/>
  <c r="D27" i="3"/>
  <c r="G5" i="3"/>
  <c r="D19" i="3"/>
  <c r="D20" i="3"/>
  <c r="D21" i="3"/>
  <c r="D22" i="3"/>
  <c r="D28" i="3"/>
  <c r="M11" i="2"/>
  <c r="M13" i="2" s="1"/>
  <c r="M47" i="2" s="1"/>
  <c r="L11" i="2"/>
  <c r="L13" i="2" s="1"/>
  <c r="L47" i="2" s="1"/>
  <c r="K11" i="2"/>
  <c r="K13" i="2" s="1"/>
  <c r="J11" i="2"/>
  <c r="J13" i="2" s="1"/>
  <c r="I11" i="2"/>
  <c r="I13" i="2" s="1"/>
  <c r="I47" i="2" s="1"/>
  <c r="H11" i="2"/>
  <c r="G11" i="2"/>
  <c r="G13" i="2" s="1"/>
  <c r="F11" i="2"/>
  <c r="E11" i="2"/>
  <c r="E13" i="2" s="1"/>
  <c r="D11" i="2"/>
  <c r="C11" i="2"/>
  <c r="F34" i="1"/>
  <c r="R33" i="1"/>
  <c r="O33" i="1"/>
  <c r="L33" i="1"/>
  <c r="O32" i="1"/>
  <c r="G32" i="1"/>
  <c r="H32" i="1" s="1"/>
  <c r="I32" i="1" s="1"/>
  <c r="L32" i="1" s="1"/>
  <c r="O31" i="1"/>
  <c r="G31" i="1"/>
  <c r="H31" i="1" s="1"/>
  <c r="D30" i="3"/>
  <c r="D29" i="3"/>
  <c r="D25" i="3"/>
  <c r="D24" i="3"/>
  <c r="D8" i="3"/>
  <c r="D23" i="3"/>
  <c r="D45" i="2"/>
  <c r="E45" i="2"/>
  <c r="F45" i="2"/>
  <c r="G45" i="2"/>
  <c r="H45" i="2"/>
  <c r="I45" i="2"/>
  <c r="J45" i="2"/>
  <c r="K45" i="2"/>
  <c r="L45" i="2"/>
  <c r="M45" i="2"/>
  <c r="D39" i="2"/>
  <c r="E39" i="2"/>
  <c r="F39" i="2"/>
  <c r="G39" i="2"/>
  <c r="H39" i="2"/>
  <c r="I39" i="2"/>
  <c r="J39" i="2"/>
  <c r="K39" i="2"/>
  <c r="L39" i="2"/>
  <c r="M39" i="2"/>
  <c r="D34" i="2"/>
  <c r="E34" i="2"/>
  <c r="F34" i="2"/>
  <c r="G34" i="2"/>
  <c r="H34" i="2"/>
  <c r="I34" i="2"/>
  <c r="J34" i="2"/>
  <c r="K34" i="2"/>
  <c r="L34" i="2"/>
  <c r="M34" i="2"/>
  <c r="C34" i="2"/>
  <c r="C39" i="2"/>
  <c r="C45" i="2"/>
  <c r="D24" i="2"/>
  <c r="E24" i="2"/>
  <c r="F24" i="2"/>
  <c r="G24" i="2"/>
  <c r="H24" i="2"/>
  <c r="I24" i="2"/>
  <c r="J24" i="2"/>
  <c r="K24" i="2"/>
  <c r="L24" i="2"/>
  <c r="M24" i="2"/>
  <c r="C24" i="2"/>
  <c r="U45" i="2" l="1"/>
  <c r="U34" i="2"/>
  <c r="U39" i="2"/>
  <c r="U24" i="2"/>
  <c r="H13" i="2"/>
  <c r="U13" i="2" s="1"/>
  <c r="U11" i="2"/>
  <c r="D13" i="2"/>
  <c r="G22" i="3"/>
  <c r="G23" i="3"/>
  <c r="G21" i="3"/>
  <c r="G24" i="3"/>
  <c r="G25" i="3"/>
  <c r="G28" i="3"/>
  <c r="G19" i="3"/>
  <c r="G29" i="3"/>
  <c r="G20" i="3"/>
  <c r="G30" i="3"/>
  <c r="T39" i="2"/>
  <c r="T45" i="2"/>
  <c r="T34" i="2"/>
  <c r="C13" i="2"/>
  <c r="C47" i="2" s="1"/>
  <c r="T11" i="2"/>
  <c r="T24" i="2"/>
  <c r="F13" i="2"/>
  <c r="I49" i="2"/>
  <c r="I51" i="2" s="1"/>
  <c r="L49" i="2"/>
  <c r="L51" i="2" s="1"/>
  <c r="R32" i="1"/>
  <c r="M49" i="2"/>
  <c r="M51" i="2" s="1"/>
  <c r="W27" i="1"/>
  <c r="M27" i="1"/>
  <c r="I31" i="1"/>
  <c r="H34" i="1"/>
  <c r="H35" i="1" s="1"/>
  <c r="R31" i="1"/>
  <c r="J47" i="2"/>
  <c r="J49" i="2" s="1"/>
  <c r="J51" i="2" s="1"/>
  <c r="G47" i="2"/>
  <c r="G49" i="2" s="1"/>
  <c r="G51" i="2" s="1"/>
  <c r="K47" i="2"/>
  <c r="K49" i="2" s="1"/>
  <c r="K51" i="2" s="1"/>
  <c r="F26" i="3"/>
  <c r="G15" i="3"/>
  <c r="D5" i="3"/>
  <c r="G6" i="3"/>
  <c r="D6" i="3"/>
  <c r="E47" i="2"/>
  <c r="E49" i="2" s="1"/>
  <c r="E51" i="2" s="1"/>
  <c r="G34" i="1"/>
  <c r="G35" i="1" s="1"/>
  <c r="H47" i="2" l="1"/>
  <c r="D47" i="2"/>
  <c r="J29" i="3"/>
  <c r="J24" i="3"/>
  <c r="M19" i="3"/>
  <c r="J21" i="3"/>
  <c r="J30" i="3"/>
  <c r="J23" i="3"/>
  <c r="J20" i="3"/>
  <c r="J25" i="3"/>
  <c r="J22" i="3"/>
  <c r="J28" i="3"/>
  <c r="J19" i="3"/>
  <c r="G27" i="3"/>
  <c r="F47" i="2"/>
  <c r="T13" i="2"/>
  <c r="I34" i="1"/>
  <c r="I35" i="1" s="1"/>
  <c r="L31" i="1"/>
  <c r="L34" i="1" s="1"/>
  <c r="L35" i="1" s="1"/>
  <c r="F31" i="3"/>
  <c r="G26" i="3"/>
  <c r="C49" i="2"/>
  <c r="H49" i="2" l="1"/>
  <c r="U47" i="2"/>
  <c r="D49" i="2"/>
  <c r="M20" i="3"/>
  <c r="M28" i="3"/>
  <c r="M23" i="3"/>
  <c r="M24" i="3"/>
  <c r="M29" i="3"/>
  <c r="M30" i="3"/>
  <c r="M22" i="3"/>
  <c r="M25" i="3"/>
  <c r="M21" i="3"/>
  <c r="J27" i="3"/>
  <c r="L31" i="3"/>
  <c r="I31" i="3"/>
  <c r="F49" i="2"/>
  <c r="C51" i="2"/>
  <c r="T47" i="2"/>
  <c r="D15" i="3"/>
  <c r="C26" i="3"/>
  <c r="G31" i="3"/>
  <c r="F34" i="3"/>
  <c r="H51" i="2" l="1"/>
  <c r="U51" i="2" s="1"/>
  <c r="U49" i="2"/>
  <c r="D51" i="2"/>
  <c r="T49" i="2"/>
  <c r="F38" i="3"/>
  <c r="F41" i="3"/>
  <c r="F40" i="3"/>
  <c r="G34" i="3"/>
  <c r="F37" i="3"/>
  <c r="M27" i="3"/>
  <c r="M31" i="3"/>
  <c r="L34" i="3"/>
  <c r="J31" i="3"/>
  <c r="I34" i="3"/>
  <c r="F51" i="2"/>
  <c r="C31" i="3"/>
  <c r="D26" i="3"/>
  <c r="L38" i="3" l="1"/>
  <c r="L41" i="3"/>
  <c r="L40" i="3"/>
  <c r="I38" i="3"/>
  <c r="I41" i="3"/>
  <c r="I40" i="3"/>
  <c r="M34" i="3"/>
  <c r="L37" i="3"/>
  <c r="J34" i="3"/>
  <c r="I37" i="3"/>
  <c r="T51" i="2"/>
  <c r="D31" i="3"/>
  <c r="C34" i="3"/>
  <c r="C41" i="3" s="1"/>
  <c r="C38" i="3" l="1"/>
  <c r="C40" i="3"/>
  <c r="D34" i="3"/>
  <c r="C37" i="3"/>
</calcChain>
</file>

<file path=xl/sharedStrings.xml><?xml version="1.0" encoding="utf-8"?>
<sst xmlns="http://schemas.openxmlformats.org/spreadsheetml/2006/main" count="204" uniqueCount="151">
  <si>
    <t>Unit Label</t>
  </si>
  <si>
    <t>Unit No.</t>
  </si>
  <si>
    <t>Beds</t>
  </si>
  <si>
    <t>Baths</t>
  </si>
  <si>
    <t>Unit Status</t>
  </si>
  <si>
    <t>Tenant Name</t>
  </si>
  <si>
    <t>Move-In Date</t>
  </si>
  <si>
    <t>Lease Start Date</t>
  </si>
  <si>
    <t>Lease Expiration Date</t>
  </si>
  <si>
    <t>SqFt</t>
  </si>
  <si>
    <t>Total Tenant Rent</t>
  </si>
  <si>
    <t>Tenant Rent</t>
  </si>
  <si>
    <t>Non-Revenue Unit Rent</t>
  </si>
  <si>
    <t>Employee Allowance</t>
  </si>
  <si>
    <t>MAY</t>
  </si>
  <si>
    <t>AUG</t>
  </si>
  <si>
    <t>OCT</t>
  </si>
  <si>
    <t>NOV</t>
  </si>
  <si>
    <t>DEC</t>
  </si>
  <si>
    <t>JAN</t>
  </si>
  <si>
    <t>FEB</t>
  </si>
  <si>
    <t>MAR</t>
  </si>
  <si>
    <t>APR</t>
  </si>
  <si>
    <t>Total</t>
  </si>
  <si>
    <t>Actual Rental Income</t>
  </si>
  <si>
    <t>Total Income</t>
  </si>
  <si>
    <t>Expenses</t>
  </si>
  <si>
    <t>Total Expenses</t>
  </si>
  <si>
    <t>Laundry Income</t>
  </si>
  <si>
    <t>Parking Income</t>
  </si>
  <si>
    <t>Total Other Income</t>
  </si>
  <si>
    <t>Real Estate Taxes</t>
  </si>
  <si>
    <t>Insurance</t>
  </si>
  <si>
    <t>Utilities</t>
  </si>
  <si>
    <t>Water &amp; Sewer</t>
  </si>
  <si>
    <t>Electric</t>
  </si>
  <si>
    <t>Gas</t>
  </si>
  <si>
    <t>Trash Removal</t>
  </si>
  <si>
    <t>Total Utilities</t>
  </si>
  <si>
    <t>Repairs &amp; Maintenance</t>
  </si>
  <si>
    <t>Pest Control</t>
  </si>
  <si>
    <t>Supplies</t>
  </si>
  <si>
    <t>Repairs</t>
  </si>
  <si>
    <t>Contract Labor</t>
  </si>
  <si>
    <t>Total R&amp;M</t>
  </si>
  <si>
    <t>Payroll</t>
  </si>
  <si>
    <t>Salary</t>
  </si>
  <si>
    <t>Leasing Commissions</t>
  </si>
  <si>
    <t>Total Payroll</t>
  </si>
  <si>
    <t>General &amp; Administrative</t>
  </si>
  <si>
    <t>Advertising</t>
  </si>
  <si>
    <t>Office Expenses</t>
  </si>
  <si>
    <t>Total G&amp;A</t>
  </si>
  <si>
    <t>Management Fee</t>
  </si>
  <si>
    <t>Legal Fees</t>
  </si>
  <si>
    <t>NOI</t>
  </si>
  <si>
    <t>Per Unit/Year</t>
  </si>
  <si>
    <t>Income</t>
  </si>
  <si>
    <t>occupied</t>
  </si>
  <si>
    <t>Property Name:</t>
  </si>
  <si>
    <t>Rent Roll as of:</t>
  </si>
  <si>
    <t>Units:</t>
  </si>
  <si>
    <t>Gross Potential Residential Income</t>
  </si>
  <si>
    <t>Late Fees</t>
  </si>
  <si>
    <t>Misc. Income</t>
  </si>
  <si>
    <t>0</t>
  </si>
  <si>
    <t>1</t>
  </si>
  <si>
    <t>2</t>
  </si>
  <si>
    <t>Subsidy Authority</t>
  </si>
  <si>
    <t>Housing Subsidy</t>
  </si>
  <si>
    <t>SEP</t>
  </si>
  <si>
    <t>JUN</t>
  </si>
  <si>
    <t>JUL</t>
  </si>
  <si>
    <t>10</t>
  </si>
  <si>
    <t>Market Rent</t>
  </si>
  <si>
    <t>30 day Receivables</t>
  </si>
  <si>
    <t>60 day Receivables</t>
  </si>
  <si>
    <t>90+ day Receivables</t>
  </si>
  <si>
    <t>Total Delinquent</t>
  </si>
  <si>
    <t>Unit #</t>
  </si>
  <si>
    <t>Tenant Space Type</t>
  </si>
  <si>
    <t>Square Footage</t>
  </si>
  <si>
    <t>Concluded Market Rent</t>
  </si>
  <si>
    <t>Current Monthly Contract Rent</t>
  </si>
  <si>
    <t>Monthly Rent w/ Contractual Increases in the next 12 mos.</t>
  </si>
  <si>
    <t>Date of Increase Occuring</t>
  </si>
  <si>
    <t xml:space="preserve">Month Number that Increase will Occur </t>
  </si>
  <si>
    <t>Projected 12 Month Commercial Rent</t>
  </si>
  <si>
    <t>Lease Start</t>
  </si>
  <si>
    <t>Lease Expiration</t>
  </si>
  <si>
    <t>Lease Term (Years)</t>
  </si>
  <si>
    <t>Renewal Options</t>
  </si>
  <si>
    <t>Comments</t>
  </si>
  <si>
    <t>Material Lease? (% of EGI)</t>
  </si>
  <si>
    <t>Tax</t>
  </si>
  <si>
    <t>Retail</t>
  </si>
  <si>
    <t>Mart</t>
  </si>
  <si>
    <t>&lt;Select&gt;</t>
  </si>
  <si>
    <t>Annualized</t>
  </si>
  <si>
    <t>COMMERCIAL RENT ROLL</t>
  </si>
  <si>
    <t>YEAR 1</t>
  </si>
  <si>
    <t>EMPLOYEE</t>
  </si>
  <si>
    <t>LAUNDRY</t>
  </si>
  <si>
    <t>Trailing 12</t>
  </si>
  <si>
    <t>Lawn Care</t>
  </si>
  <si>
    <t>Year 2</t>
  </si>
  <si>
    <t>Year 3</t>
  </si>
  <si>
    <t>Year 4</t>
  </si>
  <si>
    <t>Loss-to-Lease</t>
  </si>
  <si>
    <t>Credit Loss / Bad Debt</t>
  </si>
  <si>
    <t>Washer/Dryer</t>
  </si>
  <si>
    <t>Fee Income</t>
  </si>
  <si>
    <t>Other</t>
  </si>
  <si>
    <t>Property Management Fee</t>
  </si>
  <si>
    <t>General and Administration</t>
  </si>
  <si>
    <t>Contract Services</t>
  </si>
  <si>
    <t>Marketing</t>
  </si>
  <si>
    <t>Repairs and Maintenance</t>
  </si>
  <si>
    <t>Replacement Reserves</t>
  </si>
  <si>
    <t>GPR</t>
  </si>
  <si>
    <t>Cap Rate</t>
  </si>
  <si>
    <t>Debt Yield</t>
  </si>
  <si>
    <t>OFFICE</t>
  </si>
  <si>
    <t>MODEL</t>
  </si>
  <si>
    <t>KA117</t>
  </si>
  <si>
    <t>KA101</t>
  </si>
  <si>
    <t>KA103</t>
  </si>
  <si>
    <t>KA137</t>
  </si>
  <si>
    <t>KA119</t>
  </si>
  <si>
    <t>KA131</t>
  </si>
  <si>
    <t>KA123</t>
  </si>
  <si>
    <t>KA107</t>
  </si>
  <si>
    <t>KA111</t>
  </si>
  <si>
    <t>KA135</t>
  </si>
  <si>
    <t>KA129</t>
  </si>
  <si>
    <t>KA133</t>
  </si>
  <si>
    <t>KA125</t>
  </si>
  <si>
    <t>KA109</t>
  </si>
  <si>
    <t>KA127</t>
  </si>
  <si>
    <t>KA139</t>
  </si>
  <si>
    <t>KA105</t>
  </si>
  <si>
    <t>KA113</t>
  </si>
  <si>
    <t>KA121</t>
  </si>
  <si>
    <t>KA115</t>
  </si>
  <si>
    <t>2022 Year End</t>
  </si>
  <si>
    <t>MTM</t>
  </si>
  <si>
    <t>KA200</t>
  </si>
  <si>
    <t>Pro Forma</t>
  </si>
  <si>
    <t>Vacancy</t>
  </si>
  <si>
    <t>Commercial Income</t>
  </si>
  <si>
    <t>Commercial Vacancy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</si>
</sst>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General_)"/>
    <numFmt numFmtId="165" formatCode="0.0"/>
    <numFmt numFmtId="166" formatCode="&quot;$&quot;#,##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sz val="10"/>
      <color rgb="FF0000FF"/>
      <name val="Times New Roman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2"/>
      <color theme="1"/>
      <name val="Arial"/>
      <family val="2"/>
    </font>
    <font>
      <sz val="12"/>
      <color theme="4" tint="-0.249977111117893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4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sz val="12"/>
      <color theme="1"/>
      <name val="Arial MT"/>
      <family val="2"/>
    </font>
    <font>
      <sz val="11"/>
      <color rgb="FF0000FF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1F4E7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</fills>
  <borders count="5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indexed="64"/>
      </right>
      <top/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rgb="FF000000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7" fillId="0" borderId="0"/>
    <xf numFmtId="9" fontId="1" fillId="0" borderId="0" applyFont="0" applyFill="0" applyBorder="0" applyAlignment="0" applyProtection="0"/>
  </cellStyleXfs>
  <cellXfs count="137">
    <xf numFmtId="0" fontId="0" fillId="0" borderId="0" xfId="0"/>
    <xf numFmtId="164" fontId="0" fillId="0" borderId="0" xfId="0" applyNumberFormat="1" applyFont="1" applyFill="1" applyBorder="1" applyAlignment="1" applyProtection="1"/>
    <xf numFmtId="1" fontId="4" fillId="0" borderId="0" xfId="0" applyNumberFormat="1" applyFont="1" applyFill="1" applyBorder="1" applyAlignment="1" applyProtection="1"/>
    <xf numFmtId="0" fontId="6" fillId="3" borderId="1" xfId="0" applyNumberFormat="1" applyFont="1" applyFill="1" applyBorder="1" applyAlignment="1" applyProtection="1">
      <alignment horizontal="center"/>
      <protection locked="0"/>
    </xf>
    <xf numFmtId="166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NumberFormat="1" applyFont="1" applyFill="1" applyBorder="1" applyAlignment="1" applyProtection="1">
      <alignment horizontal="center"/>
      <protection locked="0"/>
    </xf>
    <xf numFmtId="14" fontId="5" fillId="3" borderId="1" xfId="0" applyNumberFormat="1" applyFont="1" applyFill="1" applyBorder="1" applyAlignment="1" applyProtection="1">
      <alignment horizontal="center"/>
      <protection locked="0"/>
    </xf>
    <xf numFmtId="166" fontId="0" fillId="0" borderId="1" xfId="0" applyNumberFormat="1" applyFont="1" applyFill="1" applyBorder="1" applyAlignment="1" applyProtection="1">
      <alignment horizontal="center"/>
      <protection locked="0"/>
    </xf>
    <xf numFmtId="0" fontId="6" fillId="3" borderId="2" xfId="0" applyNumberFormat="1" applyFont="1" applyFill="1" applyBorder="1" applyAlignment="1" applyProtection="1">
      <alignment horizontal="center"/>
      <protection locked="0"/>
    </xf>
    <xf numFmtId="14" fontId="5" fillId="3" borderId="2" xfId="0" applyNumberFormat="1" applyFont="1" applyFill="1" applyBorder="1" applyAlignment="1" applyProtection="1">
      <alignment horizontal="center"/>
      <protection locked="0"/>
    </xf>
    <xf numFmtId="166" fontId="5" fillId="3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16" fontId="8" fillId="0" borderId="3" xfId="0" applyNumberFormat="1" applyFont="1" applyBorder="1" applyAlignment="1">
      <alignment horizontal="center" wrapText="1"/>
    </xf>
    <xf numFmtId="0" fontId="9" fillId="0" borderId="0" xfId="0" applyFont="1" applyAlignment="1">
      <alignment horizontal="left" wrapText="1"/>
    </xf>
    <xf numFmtId="0" fontId="2" fillId="0" borderId="0" xfId="0" applyFont="1"/>
    <xf numFmtId="0" fontId="10" fillId="4" borderId="8" xfId="0" applyFont="1" applyFill="1" applyBorder="1" applyAlignment="1">
      <alignment horizontal="right"/>
    </xf>
    <xf numFmtId="0" fontId="10" fillId="0" borderId="9" xfId="0" applyFont="1" applyBorder="1"/>
    <xf numFmtId="0" fontId="10" fillId="0" borderId="10" xfId="0" applyFont="1" applyBorder="1"/>
    <xf numFmtId="0" fontId="10" fillId="0" borderId="0" xfId="0" applyFont="1"/>
    <xf numFmtId="0" fontId="10" fillId="4" borderId="11" xfId="0" applyFont="1" applyFill="1" applyBorder="1" applyAlignment="1">
      <alignment horizontal="right"/>
    </xf>
    <xf numFmtId="166" fontId="10" fillId="0" borderId="9" xfId="0" applyNumberFormat="1" applyFont="1" applyBorder="1" applyAlignment="1">
      <alignment horizontal="center"/>
    </xf>
    <xf numFmtId="166" fontId="11" fillId="0" borderId="7" xfId="0" applyNumberFormat="1" applyFont="1" applyBorder="1" applyAlignment="1">
      <alignment horizontal="center"/>
    </xf>
    <xf numFmtId="166" fontId="10" fillId="0" borderId="12" xfId="0" applyNumberFormat="1" applyFont="1" applyBorder="1" applyAlignment="1">
      <alignment horizontal="center"/>
    </xf>
    <xf numFmtId="10" fontId="11" fillId="0" borderId="0" xfId="0" applyNumberFormat="1" applyFont="1" applyAlignment="1">
      <alignment horizontal="center"/>
    </xf>
    <xf numFmtId="0" fontId="12" fillId="4" borderId="14" xfId="0" applyFont="1" applyFill="1" applyBorder="1" applyAlignment="1">
      <alignment horizontal="right"/>
    </xf>
    <xf numFmtId="166" fontId="10" fillId="0" borderId="15" xfId="0" applyNumberFormat="1" applyFont="1" applyBorder="1" applyAlignment="1">
      <alignment horizontal="center"/>
    </xf>
    <xf numFmtId="0" fontId="13" fillId="4" borderId="15" xfId="0" applyFont="1" applyFill="1" applyBorder="1" applyAlignment="1">
      <alignment horizontal="left"/>
    </xf>
    <xf numFmtId="0" fontId="14" fillId="0" borderId="0" xfId="0" applyFont="1" applyAlignment="1"/>
    <xf numFmtId="49" fontId="3" fillId="2" borderId="16" xfId="0" applyNumberFormat="1" applyFont="1" applyFill="1" applyBorder="1" applyAlignment="1" applyProtection="1">
      <alignment horizontal="left" vertical="top" wrapText="1"/>
    </xf>
    <xf numFmtId="49" fontId="3" fillId="2" borderId="17" xfId="0" applyNumberFormat="1" applyFont="1" applyFill="1" applyBorder="1" applyAlignment="1" applyProtection="1">
      <alignment horizontal="center" vertical="top" wrapText="1"/>
    </xf>
    <xf numFmtId="3" fontId="3" fillId="2" borderId="17" xfId="0" applyNumberFormat="1" applyFont="1" applyFill="1" applyBorder="1" applyAlignment="1" applyProtection="1">
      <alignment horizontal="center" vertical="top" wrapText="1"/>
    </xf>
    <xf numFmtId="3" fontId="3" fillId="2" borderId="18" xfId="0" applyNumberFormat="1" applyFont="1" applyFill="1" applyBorder="1" applyAlignment="1" applyProtection="1">
      <alignment horizontal="center" vertical="top" wrapText="1"/>
    </xf>
    <xf numFmtId="0" fontId="3" fillId="2" borderId="19" xfId="0" applyNumberFormat="1" applyFont="1" applyFill="1" applyBorder="1" applyAlignment="1" applyProtection="1">
      <alignment horizontal="center" vertical="top" wrapText="1"/>
    </xf>
    <xf numFmtId="4" fontId="3" fillId="2" borderId="19" xfId="0" applyNumberFormat="1" applyFont="1" applyFill="1" applyBorder="1" applyAlignment="1" applyProtection="1">
      <alignment horizontal="center" vertical="top" wrapText="1"/>
    </xf>
    <xf numFmtId="1" fontId="3" fillId="2" borderId="19" xfId="0" applyNumberFormat="1" applyFont="1" applyFill="1" applyBorder="1" applyAlignment="1" applyProtection="1">
      <alignment horizontal="center" vertical="top" wrapText="1"/>
    </xf>
    <xf numFmtId="1" fontId="3" fillId="2" borderId="20" xfId="0" applyNumberFormat="1" applyFont="1" applyFill="1" applyBorder="1" applyAlignment="1" applyProtection="1">
      <alignment horizontal="center" vertical="top" wrapText="1"/>
    </xf>
    <xf numFmtId="0" fontId="5" fillId="3" borderId="21" xfId="0" applyNumberFormat="1" applyFont="1" applyFill="1" applyBorder="1" applyAlignment="1" applyProtection="1">
      <alignment horizontal="center"/>
      <protection locked="0"/>
    </xf>
    <xf numFmtId="166" fontId="5" fillId="3" borderId="22" xfId="0" applyNumberFormat="1" applyFont="1" applyFill="1" applyBorder="1" applyAlignment="1" applyProtection="1">
      <alignment horizontal="center"/>
      <protection locked="0"/>
    </xf>
    <xf numFmtId="166" fontId="5" fillId="3" borderId="23" xfId="0" applyNumberFormat="1" applyFont="1" applyFill="1" applyBorder="1" applyAlignment="1" applyProtection="1">
      <alignment horizontal="center"/>
      <protection locked="0"/>
    </xf>
    <xf numFmtId="166" fontId="5" fillId="3" borderId="24" xfId="0" applyNumberFormat="1" applyFont="1" applyFill="1" applyBorder="1" applyAlignment="1" applyProtection="1">
      <alignment horizontal="center"/>
      <protection locked="0"/>
    </xf>
    <xf numFmtId="166" fontId="5" fillId="3" borderId="25" xfId="0" applyNumberFormat="1" applyFont="1" applyFill="1" applyBorder="1" applyAlignment="1" applyProtection="1">
      <alignment horizontal="center"/>
      <protection locked="0"/>
    </xf>
    <xf numFmtId="166" fontId="0" fillId="0" borderId="0" xfId="0" applyNumberFormat="1"/>
    <xf numFmtId="166" fontId="10" fillId="0" borderId="10" xfId="0" applyNumberFormat="1" applyFont="1" applyBorder="1"/>
    <xf numFmtId="166" fontId="15" fillId="0" borderId="7" xfId="0" applyNumberFormat="1" applyFont="1" applyBorder="1" applyAlignment="1">
      <alignment horizontal="center"/>
    </xf>
    <xf numFmtId="166" fontId="16" fillId="0" borderId="0" xfId="0" applyNumberFormat="1" applyFont="1"/>
    <xf numFmtId="166" fontId="15" fillId="0" borderId="15" xfId="0" applyNumberFormat="1" applyFont="1" applyBorder="1" applyAlignment="1">
      <alignment horizontal="center"/>
    </xf>
    <xf numFmtId="0" fontId="5" fillId="3" borderId="26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3" fontId="0" fillId="3" borderId="1" xfId="0" applyNumberFormat="1" applyFont="1" applyFill="1" applyBorder="1" applyAlignment="1" applyProtection="1">
      <alignment horizontal="center"/>
      <protection locked="0"/>
    </xf>
    <xf numFmtId="3" fontId="18" fillId="3" borderId="1" xfId="0" applyNumberFormat="1" applyFont="1" applyFill="1" applyBorder="1" applyAlignment="1" applyProtection="1">
      <alignment horizontal="center"/>
      <protection locked="0"/>
    </xf>
    <xf numFmtId="165" fontId="18" fillId="3" borderId="1" xfId="0" applyNumberFormat="1" applyFont="1" applyFill="1" applyBorder="1" applyAlignment="1" applyProtection="1">
      <alignment horizontal="center"/>
      <protection locked="0"/>
    </xf>
    <xf numFmtId="0" fontId="6" fillId="3" borderId="29" xfId="0" applyNumberFormat="1" applyFont="1" applyFill="1" applyBorder="1" applyAlignment="1" applyProtection="1">
      <alignment horizontal="center"/>
      <protection locked="0"/>
    </xf>
    <xf numFmtId="3" fontId="18" fillId="3" borderId="30" xfId="0" applyNumberFormat="1" applyFont="1" applyFill="1" applyBorder="1" applyAlignment="1" applyProtection="1">
      <alignment horizontal="center"/>
      <protection locked="0"/>
    </xf>
    <xf numFmtId="165" fontId="18" fillId="3" borderId="30" xfId="0" applyNumberFormat="1" applyFont="1" applyFill="1" applyBorder="1" applyAlignment="1" applyProtection="1">
      <alignment horizontal="center"/>
      <protection locked="0"/>
    </xf>
    <xf numFmtId="14" fontId="5" fillId="3" borderId="29" xfId="0" applyNumberFormat="1" applyFont="1" applyFill="1" applyBorder="1" applyAlignment="1" applyProtection="1">
      <alignment horizontal="center"/>
      <protection locked="0"/>
    </xf>
    <xf numFmtId="166" fontId="0" fillId="0" borderId="30" xfId="0" applyNumberFormat="1" applyFont="1" applyFill="1" applyBorder="1" applyAlignment="1" applyProtection="1">
      <alignment horizontal="center"/>
      <protection locked="0"/>
    </xf>
    <xf numFmtId="166" fontId="5" fillId="3" borderId="29" xfId="0" applyNumberFormat="1" applyFont="1" applyFill="1" applyBorder="1" applyAlignment="1" applyProtection="1">
      <alignment horizontal="center"/>
      <protection locked="0"/>
    </xf>
    <xf numFmtId="166" fontId="5" fillId="3" borderId="31" xfId="0" applyNumberFormat="1" applyFont="1" applyFill="1" applyBorder="1" applyAlignment="1" applyProtection="1">
      <alignment horizontal="center"/>
      <protection locked="0"/>
    </xf>
    <xf numFmtId="49" fontId="5" fillId="3" borderId="1" xfId="0" applyNumberFormat="1" applyFont="1" applyFill="1" applyBorder="1" applyAlignment="1" applyProtection="1">
      <alignment horizontal="center"/>
      <protection locked="0"/>
    </xf>
    <xf numFmtId="49" fontId="5" fillId="3" borderId="2" xfId="0" applyNumberFormat="1" applyFont="1" applyFill="1" applyBorder="1" applyAlignment="1" applyProtection="1">
      <alignment horizontal="center"/>
      <protection locked="0"/>
    </xf>
    <xf numFmtId="49" fontId="5" fillId="3" borderId="29" xfId="0" applyNumberFormat="1" applyFont="1" applyFill="1" applyBorder="1" applyAlignment="1" applyProtection="1">
      <alignment horizontal="center"/>
      <protection locked="0"/>
    </xf>
    <xf numFmtId="166" fontId="5" fillId="3" borderId="32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 vertical="top" wrapText="1"/>
    </xf>
    <xf numFmtId="166" fontId="5" fillId="3" borderId="34" xfId="0" applyNumberFormat="1" applyFont="1" applyFill="1" applyBorder="1" applyAlignment="1" applyProtection="1">
      <alignment horizontal="center"/>
      <protection locked="0"/>
    </xf>
    <xf numFmtId="166" fontId="0" fillId="0" borderId="29" xfId="0" applyNumberFormat="1" applyFont="1" applyFill="1" applyBorder="1" applyAlignment="1" applyProtection="1">
      <alignment horizontal="center"/>
      <protection locked="0"/>
    </xf>
    <xf numFmtId="0" fontId="19" fillId="5" borderId="27" xfId="2" applyNumberFormat="1" applyFont="1" applyFill="1" applyBorder="1" applyAlignment="1" applyProtection="1">
      <alignment horizontal="center" wrapText="1"/>
    </xf>
    <xf numFmtId="0" fontId="19" fillId="5" borderId="33" xfId="2" applyNumberFormat="1" applyFont="1" applyFill="1" applyBorder="1" applyAlignment="1" applyProtection="1">
      <alignment horizontal="center" wrapText="1"/>
    </xf>
    <xf numFmtId="0" fontId="19" fillId="0" borderId="35" xfId="2" applyNumberFormat="1" applyFont="1" applyFill="1" applyBorder="1" applyAlignment="1" applyProtection="1">
      <alignment horizontal="center" wrapText="1"/>
    </xf>
    <xf numFmtId="0" fontId="20" fillId="5" borderId="36" xfId="2" applyNumberFormat="1" applyFont="1" applyFill="1" applyBorder="1" applyAlignment="1" applyProtection="1"/>
    <xf numFmtId="0" fontId="21" fillId="6" borderId="37" xfId="2" applyNumberFormat="1" applyFont="1" applyFill="1" applyBorder="1" applyAlignment="1" applyProtection="1">
      <protection locked="0"/>
    </xf>
    <xf numFmtId="0" fontId="21" fillId="6" borderId="15" xfId="2" applyNumberFormat="1" applyFont="1" applyFill="1" applyBorder="1" applyAlignment="1" applyProtection="1">
      <protection locked="0"/>
    </xf>
    <xf numFmtId="166" fontId="21" fillId="6" borderId="37" xfId="2" applyNumberFormat="1" applyFont="1" applyFill="1" applyBorder="1" applyAlignment="1" applyProtection="1">
      <protection locked="0"/>
    </xf>
    <xf numFmtId="14" fontId="21" fillId="6" borderId="37" xfId="2" applyNumberFormat="1" applyFont="1" applyFill="1" applyBorder="1" applyAlignment="1" applyProtection="1">
      <protection locked="0"/>
    </xf>
    <xf numFmtId="166" fontId="22" fillId="5" borderId="37" xfId="2" applyNumberFormat="1" applyFont="1" applyFill="1" applyBorder="1" applyAlignment="1" applyProtection="1"/>
    <xf numFmtId="39" fontId="20" fillId="5" borderId="37" xfId="2" applyNumberFormat="1" applyFont="1" applyFill="1" applyBorder="1" applyAlignment="1" applyProtection="1">
      <alignment horizontal="center"/>
    </xf>
    <xf numFmtId="0" fontId="21" fillId="6" borderId="38" xfId="2" applyNumberFormat="1" applyFont="1" applyFill="1" applyBorder="1" applyAlignment="1" applyProtection="1">
      <protection locked="0"/>
    </xf>
    <xf numFmtId="0" fontId="20" fillId="5" borderId="40" xfId="2" applyNumberFormat="1" applyFont="1" applyFill="1" applyBorder="1" applyAlignment="1" applyProtection="1"/>
    <xf numFmtId="0" fontId="21" fillId="6" borderId="13" xfId="2" applyNumberFormat="1" applyFont="1" applyFill="1" applyBorder="1" applyAlignment="1" applyProtection="1">
      <protection locked="0"/>
    </xf>
    <xf numFmtId="166" fontId="21" fillId="6" borderId="13" xfId="2" applyNumberFormat="1" applyFont="1" applyFill="1" applyBorder="1" applyAlignment="1" applyProtection="1">
      <protection locked="0"/>
    </xf>
    <xf numFmtId="166" fontId="22" fillId="5" borderId="13" xfId="2" applyNumberFormat="1" applyFont="1" applyFill="1" applyBorder="1" applyAlignment="1" applyProtection="1"/>
    <xf numFmtId="39" fontId="20" fillId="5" borderId="13" xfId="2" applyNumberFormat="1" applyFont="1" applyFill="1" applyBorder="1" applyAlignment="1" applyProtection="1">
      <alignment horizontal="center"/>
    </xf>
    <xf numFmtId="0" fontId="21" fillId="6" borderId="14" xfId="2" applyNumberFormat="1" applyFont="1" applyFill="1" applyBorder="1" applyAlignment="1" applyProtection="1">
      <protection locked="0"/>
    </xf>
    <xf numFmtId="0" fontId="20" fillId="5" borderId="42" xfId="2" applyNumberFormat="1" applyFont="1" applyFill="1" applyBorder="1" applyAlignment="1" applyProtection="1"/>
    <xf numFmtId="166" fontId="21" fillId="6" borderId="15" xfId="2" applyNumberFormat="1" applyFont="1" applyFill="1" applyBorder="1" applyAlignment="1" applyProtection="1">
      <protection locked="0"/>
    </xf>
    <xf numFmtId="166" fontId="22" fillId="5" borderId="15" xfId="2" applyNumberFormat="1" applyFont="1" applyFill="1" applyBorder="1" applyAlignment="1" applyProtection="1"/>
    <xf numFmtId="39" fontId="20" fillId="5" borderId="15" xfId="2" applyNumberFormat="1" applyFont="1" applyFill="1" applyBorder="1" applyAlignment="1" applyProtection="1">
      <alignment horizontal="center"/>
    </xf>
    <xf numFmtId="0" fontId="21" fillId="6" borderId="43" xfId="2" applyNumberFormat="1" applyFont="1" applyFill="1" applyBorder="1" applyAlignment="1" applyProtection="1">
      <protection locked="0"/>
    </xf>
    <xf numFmtId="0" fontId="20" fillId="0" borderId="44" xfId="2" applyNumberFormat="1" applyFont="1" applyFill="1" applyBorder="1" applyAlignment="1" applyProtection="1">
      <alignment horizontal="center"/>
    </xf>
    <xf numFmtId="0" fontId="20" fillId="5" borderId="45" xfId="2" applyNumberFormat="1" applyFont="1" applyFill="1" applyBorder="1" applyAlignment="1" applyProtection="1">
      <protection locked="0"/>
    </xf>
    <xf numFmtId="0" fontId="20" fillId="5" borderId="0" xfId="2" applyNumberFormat="1" applyFont="1" applyFill="1" applyBorder="1" applyAlignment="1" applyProtection="1">
      <protection locked="0"/>
    </xf>
    <xf numFmtId="0" fontId="20" fillId="5" borderId="0" xfId="2" applyNumberFormat="1" applyFont="1" applyFill="1" applyBorder="1" applyAlignment="1" applyProtection="1"/>
    <xf numFmtId="166" fontId="20" fillId="5" borderId="0" xfId="2" applyNumberFormat="1" applyFont="1" applyFill="1" applyBorder="1" applyAlignment="1" applyProtection="1"/>
    <xf numFmtId="0" fontId="20" fillId="5" borderId="46" xfId="2" applyNumberFormat="1" applyFont="1" applyFill="1" applyBorder="1" applyAlignment="1" applyProtection="1">
      <protection locked="0"/>
    </xf>
    <xf numFmtId="0" fontId="20" fillId="5" borderId="47" xfId="2" applyNumberFormat="1" applyFont="1" applyFill="1" applyBorder="1" applyAlignment="1" applyProtection="1">
      <protection locked="0"/>
    </xf>
    <xf numFmtId="0" fontId="20" fillId="5" borderId="48" xfId="2" applyNumberFormat="1" applyFont="1" applyFill="1" applyBorder="1" applyAlignment="1" applyProtection="1">
      <protection locked="0"/>
    </xf>
    <xf numFmtId="0" fontId="20" fillId="5" borderId="48" xfId="2" applyNumberFormat="1" applyFont="1" applyFill="1" applyBorder="1" applyAlignment="1" applyProtection="1"/>
    <xf numFmtId="166" fontId="20" fillId="5" borderId="48" xfId="2" applyNumberFormat="1" applyFont="1" applyFill="1" applyBorder="1" applyAlignment="1" applyProtection="1"/>
    <xf numFmtId="0" fontId="20" fillId="5" borderId="49" xfId="2" applyNumberFormat="1" applyFont="1" applyFill="1" applyBorder="1" applyAlignment="1" applyProtection="1">
      <protection locked="0"/>
    </xf>
    <xf numFmtId="10" fontId="20" fillId="0" borderId="39" xfId="3" applyNumberFormat="1" applyFont="1" applyFill="1" applyBorder="1" applyAlignment="1" applyProtection="1">
      <alignment horizontal="center"/>
    </xf>
    <xf numFmtId="10" fontId="20" fillId="0" borderId="41" xfId="3" applyNumberFormat="1" applyFont="1" applyFill="1" applyBorder="1" applyAlignment="1" applyProtection="1">
      <alignment horizontal="center"/>
    </xf>
    <xf numFmtId="0" fontId="5" fillId="3" borderId="29" xfId="0" applyNumberFormat="1" applyFont="1" applyFill="1" applyBorder="1" applyAlignment="1" applyProtection="1">
      <alignment horizontal="center"/>
      <protection locked="0"/>
    </xf>
    <xf numFmtId="3" fontId="0" fillId="3" borderId="29" xfId="0" applyNumberFormat="1" applyFont="1" applyFill="1" applyBorder="1" applyAlignment="1" applyProtection="1">
      <alignment horizontal="center"/>
      <protection locked="0"/>
    </xf>
    <xf numFmtId="10" fontId="0" fillId="0" borderId="0" xfId="0" applyNumberFormat="1"/>
    <xf numFmtId="166" fontId="1" fillId="0" borderId="0" xfId="3" applyNumberFormat="1" applyFont="1"/>
    <xf numFmtId="10" fontId="0" fillId="0" borderId="0" xfId="3" applyNumberFormat="1" applyFont="1"/>
    <xf numFmtId="166" fontId="8" fillId="0" borderId="0" xfId="1" applyNumberFormat="1" applyFont="1" applyAlignment="1">
      <alignment horizontal="center" wrapText="1"/>
    </xf>
    <xf numFmtId="166" fontId="8" fillId="0" borderId="0" xfId="1" applyNumberFormat="1" applyFont="1" applyFill="1" applyAlignment="1">
      <alignment horizontal="center" wrapText="1"/>
    </xf>
    <xf numFmtId="166" fontId="24" fillId="0" borderId="0" xfId="1" applyNumberFormat="1" applyFont="1" applyAlignment="1">
      <alignment horizontal="center" wrapText="1"/>
    </xf>
    <xf numFmtId="166" fontId="24" fillId="0" borderId="0" xfId="1" applyNumberFormat="1" applyFont="1" applyFill="1" applyAlignment="1">
      <alignment horizontal="center" wrapText="1"/>
    </xf>
    <xf numFmtId="166" fontId="24" fillId="0" borderId="4" xfId="1" applyNumberFormat="1" applyFont="1" applyBorder="1" applyAlignment="1">
      <alignment horizontal="center" wrapText="1"/>
    </xf>
    <xf numFmtId="166" fontId="8" fillId="0" borderId="6" xfId="1" applyNumberFormat="1" applyFont="1" applyBorder="1" applyAlignment="1">
      <alignment horizontal="center" wrapText="1"/>
    </xf>
    <xf numFmtId="166" fontId="24" fillId="0" borderId="0" xfId="1" applyNumberFormat="1" applyFont="1" applyBorder="1" applyAlignment="1">
      <alignment horizontal="center" wrapText="1"/>
    </xf>
    <xf numFmtId="166" fontId="8" fillId="0" borderId="0" xfId="0" applyNumberFormat="1" applyFont="1" applyBorder="1" applyAlignment="1">
      <alignment horizontal="center" wrapText="1"/>
    </xf>
    <xf numFmtId="166" fontId="24" fillId="0" borderId="0" xfId="0" applyNumberFormat="1" applyFont="1" applyAlignment="1">
      <alignment horizontal="center" wrapText="1"/>
    </xf>
    <xf numFmtId="166" fontId="24" fillId="0" borderId="6" xfId="0" applyNumberFormat="1" applyFont="1" applyBorder="1" applyAlignment="1">
      <alignment horizontal="center" wrapText="1"/>
    </xf>
    <xf numFmtId="166" fontId="8" fillId="0" borderId="5" xfId="1" applyNumberFormat="1" applyFont="1" applyBorder="1" applyAlignment="1">
      <alignment horizontal="center" wrapText="1"/>
    </xf>
    <xf numFmtId="166" fontId="25" fillId="0" borderId="0" xfId="0" applyNumberFormat="1" applyFont="1" applyAlignment="1">
      <alignment horizontal="center"/>
    </xf>
    <xf numFmtId="16" fontId="8" fillId="0" borderId="52" xfId="0" applyNumberFormat="1" applyFont="1" applyFill="1" applyBorder="1" applyAlignment="1">
      <alignment horizontal="center" wrapText="1"/>
    </xf>
    <xf numFmtId="166" fontId="23" fillId="0" borderId="11" xfId="1" applyNumberFormat="1" applyFont="1" applyBorder="1" applyAlignment="1">
      <alignment horizontal="center"/>
    </xf>
    <xf numFmtId="166" fontId="23" fillId="0" borderId="8" xfId="1" applyNumberFormat="1" applyFont="1" applyBorder="1" applyAlignment="1">
      <alignment horizontal="center"/>
    </xf>
    <xf numFmtId="166" fontId="8" fillId="0" borderId="53" xfId="1" applyNumberFormat="1" applyFont="1" applyBorder="1" applyAlignment="1">
      <alignment horizontal="center" wrapText="1"/>
    </xf>
    <xf numFmtId="166" fontId="8" fillId="0" borderId="11" xfId="0" applyNumberFormat="1" applyFont="1" applyBorder="1" applyAlignment="1">
      <alignment horizontal="center" wrapText="1"/>
    </xf>
    <xf numFmtId="166" fontId="8" fillId="0" borderId="8" xfId="0" applyNumberFormat="1" applyFont="1" applyBorder="1" applyAlignment="1">
      <alignment horizontal="center" wrapText="1"/>
    </xf>
    <xf numFmtId="166" fontId="23" fillId="0" borderId="11" xfId="0" applyNumberFormat="1" applyFont="1" applyBorder="1" applyAlignment="1">
      <alignment horizontal="center"/>
    </xf>
    <xf numFmtId="0" fontId="6" fillId="3" borderId="54" xfId="0" applyNumberFormat="1" applyFont="1" applyFill="1" applyBorder="1" applyAlignment="1" applyProtection="1">
      <alignment horizontal="center"/>
      <protection locked="0"/>
    </xf>
    <xf numFmtId="166" fontId="11" fillId="0" borderId="55" xfId="0" applyNumberFormat="1" applyFont="1" applyBorder="1" applyAlignment="1">
      <alignment horizontal="center"/>
    </xf>
    <xf numFmtId="166" fontId="15" fillId="0" borderId="55" xfId="0" applyNumberFormat="1" applyFont="1" applyBorder="1" applyAlignment="1">
      <alignment horizontal="center"/>
    </xf>
    <xf numFmtId="0" fontId="3" fillId="2" borderId="50" xfId="0" applyNumberFormat="1" applyFont="1" applyFill="1" applyBorder="1" applyAlignment="1" applyProtection="1">
      <alignment horizontal="center" vertical="top" wrapText="1"/>
    </xf>
    <xf numFmtId="0" fontId="3" fillId="2" borderId="51" xfId="0" applyNumberFormat="1" applyFont="1" applyFill="1" applyBorder="1" applyAlignment="1" applyProtection="1">
      <alignment horizontal="center" vertical="top" wrapText="1"/>
    </xf>
    <xf numFmtId="0" fontId="14" fillId="0" borderId="0" xfId="0" applyFont="1" applyAlignment="1">
      <alignment horizontal="center"/>
    </xf>
    <xf numFmtId="14" fontId="14" fillId="3" borderId="27" xfId="0" applyNumberFormat="1" applyFont="1" applyFill="1" applyBorder="1" applyAlignment="1">
      <alignment horizontal="center"/>
    </xf>
    <xf numFmtId="0" fontId="14" fillId="3" borderId="28" xfId="0" applyFont="1" applyFill="1" applyBorder="1" applyAlignment="1">
      <alignment horizontal="center"/>
    </xf>
    <xf numFmtId="0" fontId="14" fillId="3" borderId="27" xfId="0" applyFont="1" applyFill="1" applyBorder="1" applyAlignment="1">
      <alignment horizontal="center"/>
    </xf>
    <xf numFmtId="0" fontId="14" fillId="3" borderId="33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4">
    <cellStyle name="Currency" xfId="1" builtinId="4"/>
    <cellStyle name="Normal" xfId="0" builtinId="0"/>
    <cellStyle name="Normal 3" xfId="2" xr:uid="{00000000-0005-0000-0000-000002000000}"/>
    <cellStyle name="Percent" xfId="3" builtinId="5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Frasz/Desktop/2452%20Stella/WB%20-%202452%20Stella%20-%205.8.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f/Desktop/Waterbury,%20CT/Lument%20UW%20Workbook%20-%20Waterbury,%20CT%20-%204.21.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S Gateway Data Rules"/>
      <sheetName val="Config"/>
      <sheetName val="DUS Gateway Data"/>
      <sheetName val="SystemData"/>
      <sheetName val="Deal Summary"/>
      <sheetName val="Scenarios"/>
      <sheetName val="Unit Mix Summary"/>
      <sheetName val="Tenants"/>
      <sheetName val="COA Views"/>
      <sheetName val="Cashflow Reconciliation"/>
      <sheetName val="Collections"/>
      <sheetName val="Underwriting"/>
      <sheetName val="Expense Comps"/>
      <sheetName val="Arbor Portfolio Comps"/>
      <sheetName val="RE Taxes"/>
      <sheetName val="Base Exit Analysis"/>
      <sheetName val="Alt Exit Analysis"/>
      <sheetName val="Appraisal"/>
      <sheetName val="Replacement Reserves"/>
      <sheetName val="Reserve Holdbacks"/>
      <sheetName val="KP1 - FS"/>
      <sheetName val="KP1 - SREO"/>
      <sheetName val="KP2 - FS"/>
      <sheetName val="KP2 - SREO"/>
      <sheetName val="KP3 - FS"/>
      <sheetName val="KP3 - SREO"/>
      <sheetName val="KP4 - FS"/>
      <sheetName val="KP4 - SREO"/>
      <sheetName val="KP5 - FS"/>
      <sheetName val="KP5 - SREO"/>
      <sheetName val="KP6 - FS"/>
      <sheetName val="KP6 - SREO"/>
      <sheetName val="Threshold Analysis"/>
      <sheetName val="Retricted Rents"/>
      <sheetName val="Amortization"/>
      <sheetName val="OFAC Sheet"/>
      <sheetName val="HCD Credit"/>
      <sheetName val="Metadata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2x1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ping"/>
      <sheetName val="DOWNLOAD"/>
      <sheetName val="FNMA PD Eligibility"/>
      <sheetName val="DUS Gateway Data Rules"/>
      <sheetName val="COA Views"/>
      <sheetName val="VALIDATE"/>
      <sheetName val="UPLOAD"/>
      <sheetName val="AllLists"/>
      <sheetName val="Loan Scenarios"/>
      <sheetName val="Summary"/>
      <sheetName val="Cashflow Reconciliation"/>
      <sheetName val="Loan Sizing"/>
      <sheetName val="Metadata"/>
      <sheetName val="Underwriting"/>
      <sheetName val="Tenants"/>
      <sheetName val="Unit Mix Summary"/>
      <sheetName val="Other Income Analysis"/>
      <sheetName val="Expenses"/>
      <sheetName val="NRI Analysis"/>
      <sheetName val="Rent Roll"/>
      <sheetName val="Rent Rollover Analysis"/>
      <sheetName val="Commercial Rent Roll"/>
      <sheetName val="S&amp;U"/>
      <sheetName val="Amortization"/>
      <sheetName val="Base Exit Strategy"/>
      <sheetName val="UW Exit Strategy"/>
      <sheetName val="Expense Comps"/>
      <sheetName val="Sales Comp Table"/>
      <sheetName val="Rent Comp Table"/>
      <sheetName val="Comps"/>
      <sheetName val="Codes"/>
      <sheetName val="PNA Sched."/>
      <sheetName val="Immediate Repairs"/>
      <sheetName val="Green Repairs"/>
      <sheetName val="RE Owned"/>
      <sheetName val="RE Tax Analysis"/>
      <sheetName val="ARM Rate Workup"/>
      <sheetName val="MAE - Fannie"/>
      <sheetName val="Financial Charts"/>
      <sheetName val="DUS Gateway Data"/>
      <sheetName val="AHD Screening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6">
          <cell r="AU36">
            <v>242688.5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35"/>
  <sheetViews>
    <sheetView zoomScale="85" zoomScaleNormal="85" workbookViewId="0">
      <selection activeCell="D26" sqref="D26"/>
    </sheetView>
  </sheetViews>
  <sheetFormatPr defaultRowHeight="14.4"/>
  <cols>
    <col min="2" max="2" width="5" customWidth="1"/>
    <col min="3" max="3" width="11.6640625" hidden="1" customWidth="1"/>
    <col min="4" max="4" width="19.88671875" customWidth="1"/>
    <col min="7" max="7" width="10.88671875" bestFit="1" customWidth="1"/>
    <col min="8" max="8" width="17.21875" bestFit="1" customWidth="1"/>
    <col min="9" max="10" width="10.33203125" bestFit="1" customWidth="1"/>
    <col min="11" max="11" width="11.109375" customWidth="1"/>
    <col min="15" max="15" width="10.6640625" bestFit="1" customWidth="1"/>
    <col min="17" max="17" width="9.44140625" customWidth="1"/>
    <col min="18" max="18" width="10.21875" customWidth="1"/>
    <col min="23" max="23" width="8.5546875" bestFit="1" customWidth="1"/>
  </cols>
  <sheetData>
    <row r="1" spans="2:23" ht="15" thickBot="1"/>
    <row r="2" spans="2:23" ht="18.600000000000001" thickBot="1">
      <c r="B2" s="28"/>
      <c r="C2" s="130" t="s">
        <v>59</v>
      </c>
      <c r="D2" s="130"/>
      <c r="E2" s="133"/>
      <c r="F2" s="134"/>
      <c r="G2" s="134"/>
      <c r="H2" s="134"/>
      <c r="I2" s="132"/>
      <c r="J2" s="28"/>
      <c r="K2" s="130" t="s">
        <v>60</v>
      </c>
      <c r="L2" s="130"/>
      <c r="M2" s="131"/>
      <c r="N2" s="132"/>
      <c r="O2" s="28"/>
      <c r="P2" s="28"/>
      <c r="Q2" s="28"/>
      <c r="R2" s="28"/>
    </row>
    <row r="4" spans="2:23" ht="39.6">
      <c r="B4" s="1"/>
      <c r="C4" s="29" t="s">
        <v>0</v>
      </c>
      <c r="D4" s="30" t="s">
        <v>1</v>
      </c>
      <c r="E4" s="31" t="s">
        <v>2</v>
      </c>
      <c r="F4" s="32" t="s">
        <v>3</v>
      </c>
      <c r="G4" s="33" t="s">
        <v>4</v>
      </c>
      <c r="H4" s="33" t="s">
        <v>5</v>
      </c>
      <c r="I4" s="33" t="s">
        <v>6</v>
      </c>
      <c r="J4" s="33" t="s">
        <v>7</v>
      </c>
      <c r="K4" s="33" t="s">
        <v>8</v>
      </c>
      <c r="L4" s="34" t="s">
        <v>9</v>
      </c>
      <c r="M4" s="35" t="s">
        <v>10</v>
      </c>
      <c r="N4" s="35" t="s">
        <v>69</v>
      </c>
      <c r="O4" s="35" t="s">
        <v>68</v>
      </c>
      <c r="P4" s="36" t="s">
        <v>11</v>
      </c>
      <c r="Q4" s="35" t="s">
        <v>12</v>
      </c>
      <c r="R4" s="36" t="s">
        <v>13</v>
      </c>
      <c r="S4" s="36" t="s">
        <v>74</v>
      </c>
      <c r="T4" s="63" t="s">
        <v>75</v>
      </c>
      <c r="U4" s="63" t="s">
        <v>76</v>
      </c>
      <c r="V4" s="63" t="s">
        <v>77</v>
      </c>
      <c r="W4" s="63" t="s">
        <v>78</v>
      </c>
    </row>
    <row r="5" spans="2:23">
      <c r="B5" s="2">
        <v>1</v>
      </c>
      <c r="C5" s="37" t="s">
        <v>65</v>
      </c>
      <c r="D5" s="3" t="s">
        <v>124</v>
      </c>
      <c r="E5" s="50">
        <v>2</v>
      </c>
      <c r="F5" s="51">
        <v>1</v>
      </c>
      <c r="G5" s="5" t="s">
        <v>58</v>
      </c>
      <c r="H5" s="5"/>
      <c r="I5" s="6"/>
      <c r="J5" s="6">
        <v>44589</v>
      </c>
      <c r="K5" s="6">
        <v>44953</v>
      </c>
      <c r="L5" s="49">
        <v>1128</v>
      </c>
      <c r="M5" s="7">
        <f>N5+P5</f>
        <v>950</v>
      </c>
      <c r="N5" s="4"/>
      <c r="O5" s="59"/>
      <c r="P5" s="38">
        <v>950</v>
      </c>
      <c r="Q5" s="40"/>
      <c r="R5" s="38"/>
      <c r="S5" s="38"/>
      <c r="T5" s="38"/>
      <c r="U5" s="38"/>
      <c r="V5" s="38"/>
      <c r="W5" s="7">
        <f>SUM(T5:V5)</f>
        <v>0</v>
      </c>
    </row>
    <row r="6" spans="2:23">
      <c r="B6" s="2">
        <v>2</v>
      </c>
      <c r="C6" s="37" t="s">
        <v>66</v>
      </c>
      <c r="D6" s="8" t="s">
        <v>125</v>
      </c>
      <c r="E6" s="50">
        <v>2</v>
      </c>
      <c r="F6" s="51">
        <v>1</v>
      </c>
      <c r="G6" s="5" t="s">
        <v>58</v>
      </c>
      <c r="H6" s="5"/>
      <c r="I6" s="9"/>
      <c r="J6" s="9">
        <v>44679</v>
      </c>
      <c r="K6" s="9">
        <v>45042</v>
      </c>
      <c r="L6" s="49">
        <v>1128</v>
      </c>
      <c r="M6" s="7">
        <f t="shared" ref="M6:M24" si="0">N6+P6</f>
        <v>975</v>
      </c>
      <c r="N6" s="10"/>
      <c r="O6" s="60"/>
      <c r="P6" s="38">
        <v>975</v>
      </c>
      <c r="Q6" s="41"/>
      <c r="R6" s="39"/>
      <c r="S6" s="39"/>
      <c r="T6" s="39"/>
      <c r="U6" s="39"/>
      <c r="V6" s="39"/>
      <c r="W6" s="7">
        <f t="shared" ref="W6:W24" si="1">SUM(T6:V6)</f>
        <v>0</v>
      </c>
    </row>
    <row r="7" spans="2:23">
      <c r="B7" s="2">
        <v>3</v>
      </c>
      <c r="C7" s="37" t="s">
        <v>66</v>
      </c>
      <c r="D7" s="8" t="s">
        <v>126</v>
      </c>
      <c r="E7" s="50">
        <v>2</v>
      </c>
      <c r="F7" s="51">
        <v>1</v>
      </c>
      <c r="G7" s="5" t="s">
        <v>58</v>
      </c>
      <c r="H7" s="5"/>
      <c r="I7" s="9"/>
      <c r="J7" s="9">
        <v>44132</v>
      </c>
      <c r="K7" s="9">
        <v>45226</v>
      </c>
      <c r="L7" s="49">
        <v>1128</v>
      </c>
      <c r="M7" s="7">
        <f t="shared" si="0"/>
        <v>1021</v>
      </c>
      <c r="N7" s="10"/>
      <c r="O7" s="60"/>
      <c r="P7" s="38">
        <v>1021</v>
      </c>
      <c r="Q7" s="41"/>
      <c r="R7" s="39"/>
      <c r="S7" s="39"/>
      <c r="T7" s="39"/>
      <c r="U7" s="39"/>
      <c r="V7" s="39"/>
      <c r="W7" s="7">
        <f t="shared" si="1"/>
        <v>0</v>
      </c>
    </row>
    <row r="8" spans="2:23">
      <c r="B8" s="2">
        <v>4</v>
      </c>
      <c r="C8" s="37" t="s">
        <v>66</v>
      </c>
      <c r="D8" s="8" t="s">
        <v>127</v>
      </c>
      <c r="E8" s="50">
        <v>2</v>
      </c>
      <c r="F8" s="51">
        <v>1</v>
      </c>
      <c r="G8" s="5" t="s">
        <v>58</v>
      </c>
      <c r="H8" s="5"/>
      <c r="I8" s="9"/>
      <c r="J8" s="9">
        <v>43978</v>
      </c>
      <c r="K8" s="9">
        <v>45138</v>
      </c>
      <c r="L8" s="49">
        <v>1128</v>
      </c>
      <c r="M8" s="7">
        <f t="shared" si="0"/>
        <v>978.25</v>
      </c>
      <c r="N8" s="10"/>
      <c r="O8" s="60"/>
      <c r="P8" s="38">
        <v>978.25</v>
      </c>
      <c r="Q8" s="41"/>
      <c r="R8" s="39"/>
      <c r="S8" s="39"/>
      <c r="T8" s="39"/>
      <c r="U8" s="39"/>
      <c r="V8" s="39"/>
      <c r="W8" s="7">
        <f t="shared" si="1"/>
        <v>0</v>
      </c>
    </row>
    <row r="9" spans="2:23">
      <c r="B9" s="2">
        <v>5</v>
      </c>
      <c r="C9" s="37"/>
      <c r="D9" s="8" t="s">
        <v>128</v>
      </c>
      <c r="E9" s="50">
        <v>2</v>
      </c>
      <c r="F9" s="51">
        <v>1</v>
      </c>
      <c r="G9" s="5" t="s">
        <v>58</v>
      </c>
      <c r="H9" s="5"/>
      <c r="I9" s="9"/>
      <c r="J9" s="9">
        <v>44202</v>
      </c>
      <c r="K9" s="9" t="s">
        <v>145</v>
      </c>
      <c r="L9" s="49">
        <v>1128</v>
      </c>
      <c r="M9" s="7">
        <f t="shared" ref="M9:M23" si="2">N9+P9</f>
        <v>1021.25</v>
      </c>
      <c r="N9" s="10"/>
      <c r="O9" s="60"/>
      <c r="P9" s="38">
        <v>1021.25</v>
      </c>
      <c r="Q9" s="41"/>
      <c r="R9" s="39"/>
      <c r="S9" s="39"/>
      <c r="T9" s="39"/>
      <c r="U9" s="39"/>
      <c r="V9" s="39"/>
      <c r="W9" s="7">
        <f t="shared" ref="W9:W23" si="3">SUM(T9:V9)</f>
        <v>0</v>
      </c>
    </row>
    <row r="10" spans="2:23">
      <c r="B10" s="2">
        <v>6</v>
      </c>
      <c r="C10" s="37"/>
      <c r="D10" s="8" t="s">
        <v>129</v>
      </c>
      <c r="E10" s="50">
        <v>2</v>
      </c>
      <c r="F10" s="51">
        <v>1</v>
      </c>
      <c r="G10" s="5" t="s">
        <v>58</v>
      </c>
      <c r="H10" s="5"/>
      <c r="I10" s="9"/>
      <c r="J10" s="9">
        <v>44743</v>
      </c>
      <c r="K10" s="9">
        <v>45107</v>
      </c>
      <c r="L10" s="49">
        <v>1128</v>
      </c>
      <c r="M10" s="7">
        <f t="shared" si="2"/>
        <v>995</v>
      </c>
      <c r="N10" s="10"/>
      <c r="O10" s="60"/>
      <c r="P10" s="38">
        <v>995</v>
      </c>
      <c r="Q10" s="41"/>
      <c r="R10" s="39"/>
      <c r="S10" s="39"/>
      <c r="T10" s="39"/>
      <c r="U10" s="39"/>
      <c r="V10" s="39"/>
      <c r="W10" s="7">
        <f t="shared" si="3"/>
        <v>0</v>
      </c>
    </row>
    <row r="11" spans="2:23">
      <c r="B11" s="2">
        <v>7</v>
      </c>
      <c r="C11" s="37"/>
      <c r="D11" s="8" t="s">
        <v>130</v>
      </c>
      <c r="E11" s="50">
        <v>2</v>
      </c>
      <c r="F11" s="51">
        <v>1</v>
      </c>
      <c r="G11" s="5" t="s">
        <v>58</v>
      </c>
      <c r="H11" s="5"/>
      <c r="I11" s="9"/>
      <c r="J11" s="9">
        <v>44063</v>
      </c>
      <c r="K11" s="9">
        <v>45138</v>
      </c>
      <c r="L11" s="49">
        <v>1128</v>
      </c>
      <c r="M11" s="7">
        <f t="shared" si="2"/>
        <v>1069.6199999999999</v>
      </c>
      <c r="N11" s="10"/>
      <c r="O11" s="60"/>
      <c r="P11" s="38">
        <v>1069.6199999999999</v>
      </c>
      <c r="Q11" s="41"/>
      <c r="R11" s="39"/>
      <c r="S11" s="39"/>
      <c r="T11" s="39"/>
      <c r="U11" s="39"/>
      <c r="V11" s="39"/>
      <c r="W11" s="7">
        <f t="shared" si="3"/>
        <v>0</v>
      </c>
    </row>
    <row r="12" spans="2:23">
      <c r="B12" s="2">
        <v>8</v>
      </c>
      <c r="C12" s="37"/>
      <c r="D12" s="8" t="s">
        <v>131</v>
      </c>
      <c r="E12" s="50">
        <v>2</v>
      </c>
      <c r="F12" s="51">
        <v>1</v>
      </c>
      <c r="G12" s="5" t="s">
        <v>58</v>
      </c>
      <c r="H12" s="5"/>
      <c r="I12" s="9"/>
      <c r="J12" s="9">
        <v>44060</v>
      </c>
      <c r="K12" s="9">
        <v>45138</v>
      </c>
      <c r="L12" s="49">
        <v>1128</v>
      </c>
      <c r="M12" s="7">
        <f t="shared" si="2"/>
        <v>1015.88</v>
      </c>
      <c r="N12" s="10"/>
      <c r="O12" s="60"/>
      <c r="P12" s="38">
        <v>1015.88</v>
      </c>
      <c r="Q12" s="41"/>
      <c r="R12" s="39"/>
      <c r="S12" s="39"/>
      <c r="T12" s="39"/>
      <c r="U12" s="39"/>
      <c r="V12" s="39"/>
      <c r="W12" s="7">
        <f t="shared" si="3"/>
        <v>0</v>
      </c>
    </row>
    <row r="13" spans="2:23">
      <c r="B13" s="2">
        <v>9</v>
      </c>
      <c r="C13" s="37"/>
      <c r="D13" s="8" t="s">
        <v>132</v>
      </c>
      <c r="E13" s="50">
        <v>2</v>
      </c>
      <c r="F13" s="51">
        <v>1</v>
      </c>
      <c r="G13" s="5" t="s">
        <v>58</v>
      </c>
      <c r="H13" s="5"/>
      <c r="I13" s="9"/>
      <c r="J13" s="9">
        <v>44285</v>
      </c>
      <c r="K13" s="9">
        <v>45014</v>
      </c>
      <c r="L13" s="49">
        <v>1128</v>
      </c>
      <c r="M13" s="7">
        <f t="shared" si="2"/>
        <v>1021.25</v>
      </c>
      <c r="N13" s="10"/>
      <c r="O13" s="60"/>
      <c r="P13" s="38">
        <v>1021.25</v>
      </c>
      <c r="Q13" s="41"/>
      <c r="R13" s="39"/>
      <c r="S13" s="39"/>
      <c r="T13" s="39"/>
      <c r="U13" s="39"/>
      <c r="V13" s="39"/>
      <c r="W13" s="7">
        <f t="shared" si="3"/>
        <v>0</v>
      </c>
    </row>
    <row r="14" spans="2:23">
      <c r="B14" s="2">
        <v>10</v>
      </c>
      <c r="C14" s="37"/>
      <c r="D14" s="8" t="s">
        <v>133</v>
      </c>
      <c r="E14" s="50">
        <v>2</v>
      </c>
      <c r="F14" s="51">
        <v>1</v>
      </c>
      <c r="G14" s="5" t="s">
        <v>58</v>
      </c>
      <c r="H14" s="5"/>
      <c r="I14" s="9"/>
      <c r="J14" s="9">
        <v>43978</v>
      </c>
      <c r="K14" s="9">
        <v>45169</v>
      </c>
      <c r="L14" s="49">
        <v>1128</v>
      </c>
      <c r="M14" s="7">
        <f t="shared" si="2"/>
        <v>910</v>
      </c>
      <c r="N14" s="10"/>
      <c r="O14" s="60"/>
      <c r="P14" s="38">
        <v>910</v>
      </c>
      <c r="Q14" s="41"/>
      <c r="R14" s="39"/>
      <c r="S14" s="39"/>
      <c r="T14" s="39"/>
      <c r="U14" s="39"/>
      <c r="V14" s="39"/>
      <c r="W14" s="7">
        <f t="shared" si="3"/>
        <v>0</v>
      </c>
    </row>
    <row r="15" spans="2:23">
      <c r="B15" s="2">
        <v>11</v>
      </c>
      <c r="C15" s="37"/>
      <c r="D15" s="8" t="s">
        <v>134</v>
      </c>
      <c r="E15" s="50">
        <v>2</v>
      </c>
      <c r="F15" s="51">
        <v>1</v>
      </c>
      <c r="G15" s="5" t="s">
        <v>58</v>
      </c>
      <c r="H15" s="5"/>
      <c r="I15" s="9"/>
      <c r="J15" s="9">
        <v>44089</v>
      </c>
      <c r="K15" s="9">
        <v>45183</v>
      </c>
      <c r="L15" s="49">
        <v>1128</v>
      </c>
      <c r="M15" s="7">
        <f t="shared" si="2"/>
        <v>970</v>
      </c>
      <c r="N15" s="10"/>
      <c r="O15" s="60"/>
      <c r="P15" s="38">
        <v>970</v>
      </c>
      <c r="Q15" s="41"/>
      <c r="R15" s="39"/>
      <c r="S15" s="39"/>
      <c r="T15" s="39"/>
      <c r="U15" s="39"/>
      <c r="V15" s="39"/>
      <c r="W15" s="7">
        <f t="shared" si="3"/>
        <v>0</v>
      </c>
    </row>
    <row r="16" spans="2:23">
      <c r="B16" s="2">
        <v>12</v>
      </c>
      <c r="C16" s="37"/>
      <c r="D16" s="8" t="s">
        <v>135</v>
      </c>
      <c r="E16" s="50">
        <v>3</v>
      </c>
      <c r="F16" s="51">
        <v>1</v>
      </c>
      <c r="G16" s="5" t="s">
        <v>58</v>
      </c>
      <c r="H16" s="5"/>
      <c r="I16" s="9"/>
      <c r="J16" s="9">
        <v>44827</v>
      </c>
      <c r="K16" s="9">
        <v>45191</v>
      </c>
      <c r="L16" s="49">
        <v>1125</v>
      </c>
      <c r="M16" s="7">
        <f t="shared" si="2"/>
        <v>1095</v>
      </c>
      <c r="N16" s="10"/>
      <c r="O16" s="60"/>
      <c r="P16" s="38">
        <v>1095</v>
      </c>
      <c r="Q16" s="41"/>
      <c r="R16" s="39"/>
      <c r="S16" s="39"/>
      <c r="T16" s="39"/>
      <c r="U16" s="39"/>
      <c r="V16" s="39"/>
      <c r="W16" s="7">
        <f t="shared" si="3"/>
        <v>0</v>
      </c>
    </row>
    <row r="17" spans="2:23">
      <c r="B17" s="2">
        <v>13</v>
      </c>
      <c r="C17" s="37"/>
      <c r="D17" s="8" t="s">
        <v>136</v>
      </c>
      <c r="E17" s="50">
        <v>1</v>
      </c>
      <c r="F17" s="51">
        <v>1</v>
      </c>
      <c r="G17" s="5" t="s">
        <v>58</v>
      </c>
      <c r="H17" s="5"/>
      <c r="I17" s="9"/>
      <c r="J17" s="9">
        <v>44544</v>
      </c>
      <c r="K17" s="9">
        <v>45273</v>
      </c>
      <c r="L17" s="49">
        <v>1128</v>
      </c>
      <c r="M17" s="7">
        <f t="shared" si="2"/>
        <v>950</v>
      </c>
      <c r="N17" s="10"/>
      <c r="O17" s="60"/>
      <c r="P17" s="38">
        <v>950</v>
      </c>
      <c r="Q17" s="41"/>
      <c r="R17" s="39"/>
      <c r="S17" s="39"/>
      <c r="T17" s="39"/>
      <c r="U17" s="39"/>
      <c r="V17" s="39"/>
      <c r="W17" s="7">
        <f t="shared" si="3"/>
        <v>0</v>
      </c>
    </row>
    <row r="18" spans="2:23">
      <c r="B18" s="2">
        <v>14</v>
      </c>
      <c r="C18" s="37"/>
      <c r="D18" s="8" t="s">
        <v>137</v>
      </c>
      <c r="E18" s="50">
        <v>2</v>
      </c>
      <c r="F18" s="51">
        <v>1</v>
      </c>
      <c r="G18" s="5" t="s">
        <v>58</v>
      </c>
      <c r="H18" s="5"/>
      <c r="I18" s="9"/>
      <c r="J18" s="9">
        <v>43978</v>
      </c>
      <c r="K18" s="9" t="s">
        <v>145</v>
      </c>
      <c r="L18" s="49">
        <v>1128</v>
      </c>
      <c r="M18" s="7">
        <f t="shared" si="2"/>
        <v>850</v>
      </c>
      <c r="N18" s="10"/>
      <c r="O18" s="60"/>
      <c r="P18" s="38">
        <v>850</v>
      </c>
      <c r="Q18" s="41"/>
      <c r="R18" s="39"/>
      <c r="S18" s="39"/>
      <c r="T18" s="39"/>
      <c r="U18" s="39"/>
      <c r="V18" s="39"/>
      <c r="W18" s="7">
        <f t="shared" si="3"/>
        <v>0</v>
      </c>
    </row>
    <row r="19" spans="2:23">
      <c r="B19" s="2">
        <v>15</v>
      </c>
      <c r="C19" s="37"/>
      <c r="D19" s="8" t="s">
        <v>138</v>
      </c>
      <c r="E19" s="50">
        <v>2</v>
      </c>
      <c r="F19" s="51">
        <v>1</v>
      </c>
      <c r="G19" s="5" t="s">
        <v>58</v>
      </c>
      <c r="H19" s="5"/>
      <c r="I19" s="9"/>
      <c r="J19" s="9">
        <v>44434</v>
      </c>
      <c r="K19" s="9">
        <v>45155</v>
      </c>
      <c r="L19" s="49">
        <v>1128</v>
      </c>
      <c r="M19" s="7">
        <f t="shared" si="2"/>
        <v>980</v>
      </c>
      <c r="N19" s="10"/>
      <c r="O19" s="60"/>
      <c r="P19" s="38">
        <v>980</v>
      </c>
      <c r="Q19" s="41"/>
      <c r="R19" s="39"/>
      <c r="S19" s="39"/>
      <c r="T19" s="39"/>
      <c r="U19" s="39"/>
      <c r="V19" s="39"/>
      <c r="W19" s="7">
        <f t="shared" si="3"/>
        <v>0</v>
      </c>
    </row>
    <row r="20" spans="2:23">
      <c r="B20" s="2">
        <v>16</v>
      </c>
      <c r="C20" s="37"/>
      <c r="D20" s="8" t="s">
        <v>139</v>
      </c>
      <c r="E20" s="50">
        <v>2</v>
      </c>
      <c r="F20" s="51">
        <v>1</v>
      </c>
      <c r="G20" s="5" t="s">
        <v>58</v>
      </c>
      <c r="H20" s="5"/>
      <c r="I20" s="9"/>
      <c r="J20" s="9">
        <v>44265</v>
      </c>
      <c r="K20" s="9">
        <v>45360</v>
      </c>
      <c r="L20" s="49">
        <v>1128</v>
      </c>
      <c r="M20" s="7">
        <f t="shared" si="2"/>
        <v>1021.25</v>
      </c>
      <c r="N20" s="10"/>
      <c r="O20" s="60"/>
      <c r="P20" s="38">
        <v>1021.25</v>
      </c>
      <c r="Q20" s="41"/>
      <c r="R20" s="39"/>
      <c r="S20" s="39"/>
      <c r="T20" s="39"/>
      <c r="U20" s="39"/>
      <c r="V20" s="39"/>
      <c r="W20" s="7">
        <f t="shared" si="3"/>
        <v>0</v>
      </c>
    </row>
    <row r="21" spans="2:23">
      <c r="B21" s="2">
        <v>17</v>
      </c>
      <c r="C21" s="37"/>
      <c r="D21" s="8" t="s">
        <v>140</v>
      </c>
      <c r="E21" s="50">
        <v>3</v>
      </c>
      <c r="F21" s="51">
        <v>1</v>
      </c>
      <c r="G21" s="5" t="s">
        <v>123</v>
      </c>
      <c r="H21" s="5"/>
      <c r="I21" s="9"/>
      <c r="J21" s="9">
        <v>43973</v>
      </c>
      <c r="K21" s="9">
        <v>45291</v>
      </c>
      <c r="L21" s="49">
        <v>1125</v>
      </c>
      <c r="M21" s="7">
        <f t="shared" si="2"/>
        <v>910</v>
      </c>
      <c r="N21" s="10"/>
      <c r="O21" s="60"/>
      <c r="P21" s="38">
        <v>910</v>
      </c>
      <c r="Q21" s="41"/>
      <c r="R21" s="39"/>
      <c r="S21" s="39"/>
      <c r="T21" s="39"/>
      <c r="U21" s="39"/>
      <c r="V21" s="39"/>
      <c r="W21" s="7">
        <f t="shared" si="3"/>
        <v>0</v>
      </c>
    </row>
    <row r="22" spans="2:23">
      <c r="B22" s="2">
        <v>18</v>
      </c>
      <c r="C22" s="37"/>
      <c r="D22" s="8" t="s">
        <v>141</v>
      </c>
      <c r="E22" s="50">
        <v>3</v>
      </c>
      <c r="F22" s="51">
        <v>1</v>
      </c>
      <c r="G22" s="5" t="s">
        <v>122</v>
      </c>
      <c r="H22" s="5"/>
      <c r="I22" s="9"/>
      <c r="J22" s="9">
        <v>43978</v>
      </c>
      <c r="K22" s="9">
        <v>45291</v>
      </c>
      <c r="L22" s="49">
        <v>1125</v>
      </c>
      <c r="M22" s="7">
        <f t="shared" si="2"/>
        <v>910</v>
      </c>
      <c r="N22" s="10"/>
      <c r="O22" s="60"/>
      <c r="P22" s="38">
        <v>910</v>
      </c>
      <c r="Q22" s="41"/>
      <c r="R22" s="39"/>
      <c r="S22" s="39"/>
      <c r="T22" s="39"/>
      <c r="U22" s="39"/>
      <c r="V22" s="39"/>
      <c r="W22" s="7">
        <f t="shared" si="3"/>
        <v>0</v>
      </c>
    </row>
    <row r="23" spans="2:23">
      <c r="B23" s="2">
        <v>19</v>
      </c>
      <c r="C23" s="37"/>
      <c r="D23" s="8" t="s">
        <v>142</v>
      </c>
      <c r="E23" s="50">
        <v>2</v>
      </c>
      <c r="F23" s="51">
        <v>1</v>
      </c>
      <c r="G23" s="5" t="s">
        <v>101</v>
      </c>
      <c r="H23" s="5"/>
      <c r="I23" s="9"/>
      <c r="J23" s="9">
        <v>44623</v>
      </c>
      <c r="K23" s="9">
        <v>44987</v>
      </c>
      <c r="L23" s="49">
        <v>1128</v>
      </c>
      <c r="M23" s="7">
        <f t="shared" si="2"/>
        <v>950</v>
      </c>
      <c r="N23" s="10"/>
      <c r="O23" s="60"/>
      <c r="P23" s="38">
        <v>950</v>
      </c>
      <c r="Q23" s="41"/>
      <c r="R23" s="39"/>
      <c r="S23" s="39"/>
      <c r="T23" s="39"/>
      <c r="U23" s="39"/>
      <c r="V23" s="39"/>
      <c r="W23" s="7">
        <f t="shared" si="3"/>
        <v>0</v>
      </c>
    </row>
    <row r="24" spans="2:23">
      <c r="B24" s="2">
        <v>20</v>
      </c>
      <c r="C24" s="37" t="s">
        <v>67</v>
      </c>
      <c r="D24" s="8" t="s">
        <v>143</v>
      </c>
      <c r="E24" s="50">
        <v>2</v>
      </c>
      <c r="F24" s="51">
        <v>1</v>
      </c>
      <c r="G24" s="5" t="s">
        <v>102</v>
      </c>
      <c r="H24" s="5"/>
      <c r="I24" s="9"/>
      <c r="J24" s="9">
        <v>44502</v>
      </c>
      <c r="K24" s="9" t="s">
        <v>145</v>
      </c>
      <c r="L24" s="49">
        <v>1128</v>
      </c>
      <c r="M24" s="7">
        <f t="shared" si="0"/>
        <v>950</v>
      </c>
      <c r="N24" s="10"/>
      <c r="O24" s="60"/>
      <c r="P24" s="38">
        <v>950</v>
      </c>
      <c r="Q24" s="41"/>
      <c r="R24" s="39"/>
      <c r="S24" s="39"/>
      <c r="T24" s="39"/>
      <c r="U24" s="39"/>
      <c r="V24" s="39"/>
      <c r="W24" s="7">
        <f t="shared" si="1"/>
        <v>0</v>
      </c>
    </row>
    <row r="25" spans="2:23">
      <c r="B25" s="2">
        <v>21</v>
      </c>
      <c r="C25" s="47"/>
      <c r="D25" s="125" t="s">
        <v>146</v>
      </c>
      <c r="E25" s="50">
        <v>2</v>
      </c>
      <c r="F25" s="51">
        <v>1</v>
      </c>
      <c r="G25" s="5" t="s">
        <v>58</v>
      </c>
      <c r="H25" s="5"/>
      <c r="I25" s="9"/>
      <c r="J25" s="9">
        <v>44502</v>
      </c>
      <c r="K25" s="9">
        <v>45047</v>
      </c>
      <c r="L25" s="49">
        <v>1129</v>
      </c>
      <c r="M25" s="7">
        <f t="shared" ref="M25" si="4">N25+P25</f>
        <v>951</v>
      </c>
      <c r="N25" s="10"/>
      <c r="O25" s="60"/>
      <c r="P25" s="38">
        <v>951</v>
      </c>
      <c r="Q25" s="41"/>
      <c r="R25" s="39"/>
      <c r="S25" s="39"/>
      <c r="T25" s="39"/>
      <c r="U25" s="39"/>
      <c r="V25" s="39"/>
      <c r="W25" s="7">
        <f t="shared" ref="W25" si="5">SUM(T25:V25)</f>
        <v>0</v>
      </c>
    </row>
    <row r="26" spans="2:23">
      <c r="B26" s="2">
        <v>22</v>
      </c>
      <c r="C26" s="47" t="s">
        <v>73</v>
      </c>
      <c r="D26" s="52"/>
      <c r="E26" s="53"/>
      <c r="F26" s="54"/>
      <c r="G26" s="101"/>
      <c r="H26" s="101"/>
      <c r="I26" s="55"/>
      <c r="J26" s="55"/>
      <c r="K26" s="55"/>
      <c r="L26" s="102"/>
      <c r="M26" s="56">
        <f t="shared" ref="M26" si="6">N26+P26</f>
        <v>0</v>
      </c>
      <c r="N26" s="57"/>
      <c r="O26" s="61"/>
      <c r="P26" s="58"/>
      <c r="Q26" s="62"/>
      <c r="R26" s="58"/>
      <c r="S26" s="58"/>
      <c r="T26" s="64"/>
      <c r="U26" s="58"/>
      <c r="V26" s="58"/>
      <c r="W26" s="65">
        <f t="shared" ref="W26" si="7">SUM(T26:V26)</f>
        <v>0</v>
      </c>
    </row>
    <row r="27" spans="2:23">
      <c r="M27" s="42">
        <f>SUM(M5:M26)</f>
        <v>20494.5</v>
      </c>
      <c r="P27" s="42">
        <f t="shared" ref="P27:W27" si="8">SUM(P5:P26)</f>
        <v>20494.5</v>
      </c>
      <c r="Q27" s="42">
        <f t="shared" si="8"/>
        <v>0</v>
      </c>
      <c r="R27" s="42">
        <f t="shared" si="8"/>
        <v>0</v>
      </c>
      <c r="S27" s="42">
        <f t="shared" si="8"/>
        <v>0</v>
      </c>
      <c r="T27" s="42">
        <f t="shared" si="8"/>
        <v>0</v>
      </c>
      <c r="U27" s="42">
        <f t="shared" si="8"/>
        <v>0</v>
      </c>
      <c r="V27" s="42">
        <f t="shared" si="8"/>
        <v>0</v>
      </c>
      <c r="W27" s="42">
        <f t="shared" si="8"/>
        <v>0</v>
      </c>
    </row>
    <row r="29" spans="2:23" ht="15" customHeight="1" thickBot="1">
      <c r="B29" s="128" t="s">
        <v>99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9"/>
    </row>
    <row r="30" spans="2:23" ht="83.4" thickBot="1">
      <c r="B30" s="66"/>
      <c r="C30" s="67" t="s">
        <v>79</v>
      </c>
      <c r="D30" s="67" t="s">
        <v>5</v>
      </c>
      <c r="E30" s="67" t="s">
        <v>80</v>
      </c>
      <c r="F30" s="67" t="s">
        <v>81</v>
      </c>
      <c r="G30" s="67" t="s">
        <v>82</v>
      </c>
      <c r="H30" s="67" t="s">
        <v>83</v>
      </c>
      <c r="I30" s="67" t="s">
        <v>84</v>
      </c>
      <c r="J30" s="67" t="s">
        <v>85</v>
      </c>
      <c r="K30" s="67" t="s">
        <v>86</v>
      </c>
      <c r="L30" s="67" t="s">
        <v>87</v>
      </c>
      <c r="M30" s="67" t="s">
        <v>88</v>
      </c>
      <c r="N30" s="67" t="s">
        <v>89</v>
      </c>
      <c r="O30" s="67" t="s">
        <v>90</v>
      </c>
      <c r="P30" s="67" t="s">
        <v>91</v>
      </c>
      <c r="Q30" s="67" t="s">
        <v>92</v>
      </c>
      <c r="R30" s="68" t="s">
        <v>93</v>
      </c>
    </row>
    <row r="31" spans="2:23">
      <c r="B31" s="69">
        <v>1</v>
      </c>
      <c r="C31" s="70">
        <v>101</v>
      </c>
      <c r="D31" s="70" t="s">
        <v>94</v>
      </c>
      <c r="E31" s="71" t="s">
        <v>95</v>
      </c>
      <c r="F31" s="71"/>
      <c r="G31" s="72">
        <f>24600/12/2</f>
        <v>1025</v>
      </c>
      <c r="H31" s="72">
        <f>G31</f>
        <v>1025</v>
      </c>
      <c r="I31" s="72">
        <f>H31</f>
        <v>1025</v>
      </c>
      <c r="J31" s="73"/>
      <c r="K31" s="70"/>
      <c r="L31" s="74">
        <f t="shared" ref="L31:L33" si="9">+(I31*(12-K31+1))+(H31*(K31-1))</f>
        <v>12300</v>
      </c>
      <c r="M31" s="71"/>
      <c r="N31" s="71"/>
      <c r="O31" s="75">
        <f t="shared" ref="O31:O33" si="10">+ROUND(((N31-M31)/365),2)</f>
        <v>0</v>
      </c>
      <c r="P31" s="71"/>
      <c r="Q31" s="76"/>
      <c r="R31" s="99">
        <f>IF(H31="","N/A",(H31*12)/[2]Underwriting!$AU$36)</f>
        <v>5.0682253176396901E-2</v>
      </c>
    </row>
    <row r="32" spans="2:23">
      <c r="B32" s="77">
        <v>2</v>
      </c>
      <c r="C32" s="78">
        <v>102</v>
      </c>
      <c r="D32" s="78" t="s">
        <v>96</v>
      </c>
      <c r="E32" s="71" t="s">
        <v>95</v>
      </c>
      <c r="F32" s="71"/>
      <c r="G32" s="79">
        <f>24600/12/2</f>
        <v>1025</v>
      </c>
      <c r="H32" s="79">
        <f>G32</f>
        <v>1025</v>
      </c>
      <c r="I32" s="79">
        <f>H32</f>
        <v>1025</v>
      </c>
      <c r="J32" s="78"/>
      <c r="K32" s="78"/>
      <c r="L32" s="80">
        <f t="shared" si="9"/>
        <v>12300</v>
      </c>
      <c r="M32" s="71"/>
      <c r="N32" s="71"/>
      <c r="O32" s="81">
        <f t="shared" si="10"/>
        <v>0</v>
      </c>
      <c r="P32" s="71"/>
      <c r="Q32" s="82"/>
      <c r="R32" s="100">
        <f>IF(H32="","N/A",(H32*12)/[2]Underwriting!$AU$36)</f>
        <v>5.0682253176396901E-2</v>
      </c>
    </row>
    <row r="33" spans="2:18" ht="15" thickBot="1">
      <c r="B33" s="83">
        <v>3</v>
      </c>
      <c r="C33" s="71"/>
      <c r="D33" s="71"/>
      <c r="E33" s="71" t="s">
        <v>97</v>
      </c>
      <c r="F33" s="71"/>
      <c r="G33" s="84"/>
      <c r="H33" s="84"/>
      <c r="I33" s="84"/>
      <c r="J33" s="71"/>
      <c r="K33" s="71"/>
      <c r="L33" s="85">
        <f t="shared" si="9"/>
        <v>0</v>
      </c>
      <c r="M33" s="71"/>
      <c r="N33" s="71"/>
      <c r="O33" s="86">
        <f t="shared" si="10"/>
        <v>0</v>
      </c>
      <c r="P33" s="71"/>
      <c r="Q33" s="87"/>
      <c r="R33" s="88" t="str">
        <f>IF(H33="","N/A",(H33*12)/[2]Underwriting!$AU$36)</f>
        <v>N/A</v>
      </c>
    </row>
    <row r="34" spans="2:18" ht="15" thickTop="1">
      <c r="B34" s="89"/>
      <c r="C34" s="90"/>
      <c r="D34" s="90"/>
      <c r="E34" s="91" t="s">
        <v>23</v>
      </c>
      <c r="F34" s="91">
        <f>SUM(F31:F33)</f>
        <v>0</v>
      </c>
      <c r="G34" s="92">
        <f>SUM(G31:G33)</f>
        <v>2050</v>
      </c>
      <c r="H34" s="92">
        <f>SUM(H31:H33)</f>
        <v>2050</v>
      </c>
      <c r="I34" s="92">
        <f>SUM(I31:I33)</f>
        <v>2050</v>
      </c>
      <c r="J34" s="90"/>
      <c r="K34" s="90"/>
      <c r="L34" s="92">
        <f>SUM(L31:L33)/12</f>
        <v>2050</v>
      </c>
      <c r="M34" s="90"/>
      <c r="N34" s="90"/>
      <c r="O34" s="90"/>
      <c r="P34" s="90"/>
      <c r="Q34" s="90"/>
      <c r="R34" s="93"/>
    </row>
    <row r="35" spans="2:18" ht="15" thickBot="1">
      <c r="B35" s="94"/>
      <c r="C35" s="95"/>
      <c r="D35" s="95"/>
      <c r="E35" s="96" t="s">
        <v>98</v>
      </c>
      <c r="F35" s="96"/>
      <c r="G35" s="97">
        <f>+G34*12</f>
        <v>24600</v>
      </c>
      <c r="H35" s="97">
        <f>+H34*12</f>
        <v>24600</v>
      </c>
      <c r="I35" s="97">
        <f>+I34*12</f>
        <v>24600</v>
      </c>
      <c r="J35" s="95"/>
      <c r="K35" s="95"/>
      <c r="L35" s="97">
        <f>+L34*12</f>
        <v>24600</v>
      </c>
      <c r="M35" s="95"/>
      <c r="N35" s="95"/>
      <c r="O35" s="95"/>
      <c r="P35" s="95"/>
      <c r="Q35" s="95"/>
      <c r="R35" s="98"/>
    </row>
  </sheetData>
  <mergeCells count="5">
    <mergeCell ref="B29:R29"/>
    <mergeCell ref="K2:L2"/>
    <mergeCell ref="C2:D2"/>
    <mergeCell ref="M2:N2"/>
    <mergeCell ref="E2:I2"/>
  </mergeCells>
  <dataValidations count="5">
    <dataValidation operator="greaterThan" allowBlank="1" showInputMessage="1" showErrorMessage="1" sqref="K36:K345 O5:O26 K5:K28" xr:uid="{00000000-0002-0000-0000-000000000000}"/>
    <dataValidation type="list" allowBlank="1" showInputMessage="1" showErrorMessage="1" sqref="E31:E33" xr:uid="{00000000-0002-0000-0000-000001000000}">
      <formula1>"&lt;Select&gt;,Retail,Office,Flex,Other,Vacant"</formula1>
    </dataValidation>
    <dataValidation type="list" allowBlank="1" showInputMessage="1" showErrorMessage="1" sqref="G26" xr:uid="{00000000-0002-0000-0000-000002000000}">
      <formula1>$C$838:$C$843</formula1>
    </dataValidation>
    <dataValidation type="decimal" operator="greaterThan" allowBlank="1" showInputMessage="1" showErrorMessage="1" sqref="P5:W26 E5:F26 L5:N26" xr:uid="{00000000-0002-0000-0000-000003000000}">
      <formula1>-1</formula1>
    </dataValidation>
    <dataValidation type="date" operator="greaterThan" allowBlank="1" showInputMessage="1" showErrorMessage="1" sqref="I5:J26" xr:uid="{00000000-0002-0000-0000-000004000000}">
      <formula1>18264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51"/>
  <sheetViews>
    <sheetView tabSelected="1" zoomScale="90" zoomScaleNormal="90" workbookViewId="0">
      <selection activeCell="F2" sqref="F2"/>
    </sheetView>
  </sheetViews>
  <sheetFormatPr defaultRowHeight="14.4"/>
  <cols>
    <col min="2" max="2" width="18.5546875" customWidth="1"/>
    <col min="3" max="13" width="9.5546875" bestFit="1" customWidth="1"/>
    <col min="14" max="19" width="9.5546875" customWidth="1"/>
    <col min="20" max="20" width="9.5546875" style="15" bestFit="1" customWidth="1"/>
  </cols>
  <sheetData>
    <row r="2" spans="2:21">
      <c r="C2" s="11">
        <v>2022</v>
      </c>
      <c r="F2" s="15"/>
      <c r="O2" s="15">
        <v>2023</v>
      </c>
      <c r="P2" s="15"/>
      <c r="Q2" s="15"/>
      <c r="R2" s="15"/>
      <c r="S2" s="15"/>
    </row>
    <row r="3" spans="2:21" ht="24.6">
      <c r="B3" s="12"/>
      <c r="C3" s="13" t="s">
        <v>19</v>
      </c>
      <c r="D3" s="13" t="s">
        <v>20</v>
      </c>
      <c r="E3" s="13" t="s">
        <v>21</v>
      </c>
      <c r="F3" s="13" t="s">
        <v>22</v>
      </c>
      <c r="G3" s="13" t="s">
        <v>14</v>
      </c>
      <c r="H3" s="13" t="s">
        <v>71</v>
      </c>
      <c r="I3" s="13" t="s">
        <v>72</v>
      </c>
      <c r="J3" s="13" t="s">
        <v>15</v>
      </c>
      <c r="K3" s="13" t="s">
        <v>70</v>
      </c>
      <c r="L3" s="13" t="s">
        <v>16</v>
      </c>
      <c r="M3" s="13" t="s">
        <v>17</v>
      </c>
      <c r="N3" s="13" t="s">
        <v>18</v>
      </c>
      <c r="O3" s="13" t="s">
        <v>19</v>
      </c>
      <c r="P3" s="13" t="s">
        <v>20</v>
      </c>
      <c r="Q3" s="13" t="s">
        <v>21</v>
      </c>
      <c r="R3" s="13" t="s">
        <v>22</v>
      </c>
      <c r="S3" s="13" t="s">
        <v>14</v>
      </c>
      <c r="T3" s="118" t="s">
        <v>144</v>
      </c>
      <c r="U3" s="118" t="s">
        <v>103</v>
      </c>
    </row>
    <row r="4" spans="2:21" ht="34.200000000000003" customHeight="1">
      <c r="B4" s="14" t="s">
        <v>62</v>
      </c>
      <c r="C4" s="106">
        <v>64648</v>
      </c>
      <c r="D4" s="106">
        <v>64648</v>
      </c>
      <c r="E4" s="106">
        <v>64648</v>
      </c>
      <c r="F4" s="106">
        <v>64648</v>
      </c>
      <c r="G4" s="106">
        <v>64648</v>
      </c>
      <c r="H4" s="106">
        <v>64648</v>
      </c>
      <c r="I4" s="106">
        <v>64648</v>
      </c>
      <c r="J4" s="106">
        <v>64648</v>
      </c>
      <c r="K4" s="106">
        <v>64648</v>
      </c>
      <c r="L4" s="106">
        <v>64648</v>
      </c>
      <c r="M4" s="106">
        <v>64648</v>
      </c>
      <c r="N4" s="106">
        <v>64648</v>
      </c>
      <c r="O4" s="106">
        <v>64648</v>
      </c>
      <c r="P4" s="106">
        <v>64648</v>
      </c>
      <c r="Q4" s="106">
        <v>64648</v>
      </c>
      <c r="R4" s="106">
        <v>64648</v>
      </c>
      <c r="S4" s="106">
        <v>64648</v>
      </c>
      <c r="T4" s="119">
        <f>SUM(C4:N4)</f>
        <v>775776</v>
      </c>
      <c r="U4" s="119">
        <f>SUM(H4:S4)</f>
        <v>775776</v>
      </c>
    </row>
    <row r="5" spans="2:21" s="15" customFormat="1">
      <c r="B5" s="14" t="s">
        <v>24</v>
      </c>
      <c r="C5" s="106">
        <v>54464</v>
      </c>
      <c r="D5" s="106">
        <v>55660</v>
      </c>
      <c r="E5" s="106">
        <v>56012</v>
      </c>
      <c r="F5" s="106">
        <v>56640</v>
      </c>
      <c r="G5" s="106">
        <v>56801</v>
      </c>
      <c r="H5" s="106">
        <v>56485</v>
      </c>
      <c r="I5" s="106">
        <v>56501</v>
      </c>
      <c r="J5" s="106">
        <v>55908</v>
      </c>
      <c r="K5" s="107">
        <v>56411</v>
      </c>
      <c r="L5" s="107">
        <v>55910</v>
      </c>
      <c r="M5" s="107">
        <v>56600</v>
      </c>
      <c r="N5" s="107">
        <v>56600</v>
      </c>
      <c r="O5" s="107">
        <v>56600</v>
      </c>
      <c r="P5" s="107">
        <v>56600</v>
      </c>
      <c r="Q5" s="107">
        <v>56600</v>
      </c>
      <c r="R5" s="107">
        <v>56600</v>
      </c>
      <c r="S5" s="107">
        <v>56600</v>
      </c>
      <c r="T5" s="119">
        <f>SUM(C5:N5)</f>
        <v>673992</v>
      </c>
      <c r="U5" s="119">
        <f>SUM(H5:S5)</f>
        <v>677415</v>
      </c>
    </row>
    <row r="6" spans="2:21">
      <c r="B6" s="14"/>
      <c r="C6" s="108"/>
      <c r="D6" s="108"/>
      <c r="E6" s="108"/>
      <c r="F6" s="108"/>
      <c r="G6" s="108"/>
      <c r="H6" s="108"/>
      <c r="I6" s="108"/>
      <c r="J6" s="108"/>
      <c r="K6" s="109"/>
      <c r="L6" s="109"/>
      <c r="M6" s="109"/>
      <c r="N6" s="109"/>
      <c r="O6" s="109"/>
      <c r="P6" s="109"/>
      <c r="Q6" s="109"/>
      <c r="R6" s="109"/>
      <c r="S6" s="109"/>
      <c r="T6" s="119"/>
      <c r="U6" s="119"/>
    </row>
    <row r="7" spans="2:21">
      <c r="B7" s="14" t="s">
        <v>28</v>
      </c>
      <c r="C7" s="108">
        <v>2743</v>
      </c>
      <c r="D7" s="108">
        <v>2412</v>
      </c>
      <c r="E7" s="108">
        <v>2642</v>
      </c>
      <c r="F7" s="108">
        <v>2545</v>
      </c>
      <c r="G7" s="108">
        <v>2570</v>
      </c>
      <c r="H7" s="108">
        <v>2612</v>
      </c>
      <c r="I7" s="108">
        <v>2470</v>
      </c>
      <c r="J7" s="108">
        <v>2510</v>
      </c>
      <c r="K7" s="108">
        <v>2480</v>
      </c>
      <c r="L7" s="108"/>
      <c r="M7" s="108">
        <v>2410</v>
      </c>
      <c r="N7" s="108">
        <v>2410</v>
      </c>
      <c r="O7" s="108">
        <v>2410</v>
      </c>
      <c r="P7" s="108">
        <v>2410</v>
      </c>
      <c r="Q7" s="108">
        <v>2410</v>
      </c>
      <c r="R7" s="108">
        <v>2410</v>
      </c>
      <c r="S7" s="108">
        <v>2410</v>
      </c>
      <c r="T7" s="119">
        <f>SUM(C7:N7)</f>
        <v>27804</v>
      </c>
      <c r="U7" s="119">
        <f>SUM(H7:S7)</f>
        <v>26942</v>
      </c>
    </row>
    <row r="8" spans="2:21">
      <c r="B8" s="14" t="s">
        <v>29</v>
      </c>
      <c r="C8" s="108">
        <v>500</v>
      </c>
      <c r="D8" s="108">
        <v>650</v>
      </c>
      <c r="E8" s="108">
        <v>700</v>
      </c>
      <c r="F8" s="108">
        <v>800</v>
      </c>
      <c r="G8" s="108">
        <v>850</v>
      </c>
      <c r="H8" s="108"/>
      <c r="I8" s="108">
        <v>600</v>
      </c>
      <c r="J8" s="108">
        <v>450</v>
      </c>
      <c r="K8" s="108">
        <v>750</v>
      </c>
      <c r="L8" s="108">
        <v>825</v>
      </c>
      <c r="M8" s="108">
        <v>575</v>
      </c>
      <c r="N8" s="108">
        <v>575</v>
      </c>
      <c r="O8" s="108">
        <v>575</v>
      </c>
      <c r="P8" s="108">
        <v>575</v>
      </c>
      <c r="Q8" s="108">
        <v>575</v>
      </c>
      <c r="R8" s="108">
        <v>575</v>
      </c>
      <c r="S8" s="108">
        <v>575</v>
      </c>
      <c r="T8" s="119">
        <f>SUM(C8:N8)</f>
        <v>7275</v>
      </c>
      <c r="U8" s="119">
        <f>SUM(H8:S8)</f>
        <v>6650</v>
      </c>
    </row>
    <row r="9" spans="2:21">
      <c r="B9" s="14" t="s">
        <v>63</v>
      </c>
      <c r="C9" s="108">
        <v>500</v>
      </c>
      <c r="D9" s="108">
        <v>650</v>
      </c>
      <c r="E9" s="108">
        <v>700</v>
      </c>
      <c r="F9" s="108">
        <v>800</v>
      </c>
      <c r="G9" s="108">
        <v>850</v>
      </c>
      <c r="H9" s="108">
        <v>750</v>
      </c>
      <c r="I9" s="108">
        <v>600</v>
      </c>
      <c r="J9" s="108">
        <v>450</v>
      </c>
      <c r="K9" s="108">
        <v>750</v>
      </c>
      <c r="L9" s="108">
        <v>825</v>
      </c>
      <c r="M9" s="108">
        <v>575</v>
      </c>
      <c r="N9" s="108">
        <v>575</v>
      </c>
      <c r="O9" s="108"/>
      <c r="P9" s="108">
        <v>575</v>
      </c>
      <c r="Q9" s="108">
        <v>575</v>
      </c>
      <c r="R9" s="108">
        <v>575</v>
      </c>
      <c r="S9" s="108">
        <v>575</v>
      </c>
      <c r="T9" s="119">
        <f>SUM(C9:N9)</f>
        <v>8025</v>
      </c>
      <c r="U9" s="119">
        <f>SUM(H9:S9)</f>
        <v>6825</v>
      </c>
    </row>
    <row r="10" spans="2:21">
      <c r="B10" s="14" t="s">
        <v>64</v>
      </c>
      <c r="C10" s="108">
        <v>1114.3599999999999</v>
      </c>
      <c r="D10" s="110">
        <v>981.33</v>
      </c>
      <c r="E10" s="110">
        <v>1110.31</v>
      </c>
      <c r="F10" s="110">
        <v>1180.45</v>
      </c>
      <c r="G10" s="110">
        <v>1212.42</v>
      </c>
      <c r="H10" s="110">
        <v>1352.51</v>
      </c>
      <c r="I10" s="110">
        <v>1212.42</v>
      </c>
      <c r="J10" s="110">
        <v>1002.12</v>
      </c>
      <c r="K10" s="110">
        <v>1641</v>
      </c>
      <c r="L10" s="110"/>
      <c r="M10" s="110">
        <v>1367.5</v>
      </c>
      <c r="N10" s="110">
        <v>1367.5</v>
      </c>
      <c r="O10" s="110">
        <v>1367.5</v>
      </c>
      <c r="P10" s="110">
        <v>1367.5</v>
      </c>
      <c r="Q10" s="110">
        <v>1367.5</v>
      </c>
      <c r="R10" s="110">
        <v>1367.5</v>
      </c>
      <c r="S10" s="110">
        <v>1367.5</v>
      </c>
      <c r="T10" s="119">
        <f>SUM(C10:N10)</f>
        <v>13541.92</v>
      </c>
      <c r="U10" s="119">
        <f>SUM(H10:S10)</f>
        <v>14780.55</v>
      </c>
    </row>
    <row r="11" spans="2:21" s="15" customFormat="1">
      <c r="B11" s="14" t="s">
        <v>30</v>
      </c>
      <c r="C11" s="111">
        <f>SUM(C7:C10)</f>
        <v>4857.3599999999997</v>
      </c>
      <c r="D11" s="111">
        <f t="shared" ref="D11:M11" si="0">SUM(D7:D10)</f>
        <v>4693.33</v>
      </c>
      <c r="E11" s="111">
        <f t="shared" si="0"/>
        <v>5152.3099999999995</v>
      </c>
      <c r="F11" s="111">
        <f t="shared" si="0"/>
        <v>5325.45</v>
      </c>
      <c r="G11" s="111">
        <f t="shared" si="0"/>
        <v>5482.42</v>
      </c>
      <c r="H11" s="111">
        <f t="shared" si="0"/>
        <v>4714.51</v>
      </c>
      <c r="I11" s="111">
        <f t="shared" si="0"/>
        <v>4882.42</v>
      </c>
      <c r="J11" s="111">
        <f t="shared" si="0"/>
        <v>4412.12</v>
      </c>
      <c r="K11" s="111">
        <f t="shared" si="0"/>
        <v>5621</v>
      </c>
      <c r="L11" s="111">
        <f t="shared" si="0"/>
        <v>1650</v>
      </c>
      <c r="M11" s="111">
        <f t="shared" si="0"/>
        <v>4927.5</v>
      </c>
      <c r="N11" s="111">
        <f t="shared" ref="N11:O11" si="1">SUM(N7:N10)</f>
        <v>4927.5</v>
      </c>
      <c r="O11" s="111">
        <f t="shared" si="1"/>
        <v>4352.5</v>
      </c>
      <c r="P11" s="111">
        <f t="shared" ref="P11:S11" si="2">SUM(P7:P10)</f>
        <v>4927.5</v>
      </c>
      <c r="Q11" s="111">
        <f t="shared" si="2"/>
        <v>4927.5</v>
      </c>
      <c r="R11" s="111">
        <f t="shared" si="2"/>
        <v>4927.5</v>
      </c>
      <c r="S11" s="111">
        <f t="shared" si="2"/>
        <v>4927.5</v>
      </c>
      <c r="T11" s="120">
        <f>SUM(C11:N11)</f>
        <v>56645.919999999998</v>
      </c>
      <c r="U11" s="120">
        <f>SUM(H11:S11)</f>
        <v>55197.55</v>
      </c>
    </row>
    <row r="12" spans="2:21">
      <c r="B12" s="14"/>
      <c r="C12" s="108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9"/>
      <c r="U12" s="119"/>
    </row>
    <row r="13" spans="2:21">
      <c r="B13" s="14" t="s">
        <v>25</v>
      </c>
      <c r="C13" s="111">
        <f>C11+C5</f>
        <v>59321.36</v>
      </c>
      <c r="D13" s="111">
        <f t="shared" ref="D13:M13" si="3">D11+D5</f>
        <v>60353.33</v>
      </c>
      <c r="E13" s="111">
        <f t="shared" si="3"/>
        <v>61164.31</v>
      </c>
      <c r="F13" s="111">
        <f t="shared" si="3"/>
        <v>61965.45</v>
      </c>
      <c r="G13" s="111">
        <f t="shared" si="3"/>
        <v>62283.42</v>
      </c>
      <c r="H13" s="111">
        <f t="shared" si="3"/>
        <v>61199.51</v>
      </c>
      <c r="I13" s="111">
        <f t="shared" si="3"/>
        <v>61383.42</v>
      </c>
      <c r="J13" s="111">
        <f t="shared" si="3"/>
        <v>60320.12</v>
      </c>
      <c r="K13" s="111">
        <f t="shared" si="3"/>
        <v>62032</v>
      </c>
      <c r="L13" s="111">
        <f t="shared" si="3"/>
        <v>57560</v>
      </c>
      <c r="M13" s="111">
        <f t="shared" si="3"/>
        <v>61527.5</v>
      </c>
      <c r="N13" s="111">
        <f t="shared" ref="N13:O13" si="4">N11+N5</f>
        <v>61527.5</v>
      </c>
      <c r="O13" s="111">
        <f t="shared" si="4"/>
        <v>60952.5</v>
      </c>
      <c r="P13" s="111">
        <f t="shared" ref="P13:S13" si="5">P11+P5</f>
        <v>61527.5</v>
      </c>
      <c r="Q13" s="111">
        <f t="shared" si="5"/>
        <v>61527.5</v>
      </c>
      <c r="R13" s="111">
        <f t="shared" si="5"/>
        <v>61527.5</v>
      </c>
      <c r="S13" s="111">
        <f t="shared" si="5"/>
        <v>61527.5</v>
      </c>
      <c r="T13" s="121">
        <f>SUM(C13:N13)</f>
        <v>730637.91999999993</v>
      </c>
      <c r="U13" s="121">
        <f>SUM(H13:S13)</f>
        <v>732612.55</v>
      </c>
    </row>
    <row r="14" spans="2:21">
      <c r="B14" s="14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22"/>
      <c r="U14" s="122"/>
    </row>
    <row r="15" spans="2:21">
      <c r="B15" s="14" t="s">
        <v>26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22"/>
      <c r="U15" s="122"/>
    </row>
    <row r="16" spans="2:21">
      <c r="B16" s="14" t="s">
        <v>31</v>
      </c>
      <c r="C16" s="114">
        <v>3126.67</v>
      </c>
      <c r="D16" s="114">
        <v>2780</v>
      </c>
      <c r="E16" s="114">
        <v>3135</v>
      </c>
      <c r="F16" s="114">
        <v>3780.14</v>
      </c>
      <c r="G16" s="114">
        <v>3356.93</v>
      </c>
      <c r="H16" s="114">
        <v>2171</v>
      </c>
      <c r="I16" s="114">
        <v>3356.93</v>
      </c>
      <c r="J16" s="114">
        <v>4171</v>
      </c>
      <c r="K16" s="114">
        <v>3911</v>
      </c>
      <c r="L16" s="114">
        <v>3405.96</v>
      </c>
      <c r="M16" s="114">
        <v>3207.55</v>
      </c>
      <c r="N16" s="114">
        <v>3207.55</v>
      </c>
      <c r="O16" s="114">
        <v>3207.55</v>
      </c>
      <c r="P16" s="114">
        <v>3207.55</v>
      </c>
      <c r="Q16" s="114">
        <v>3207.55</v>
      </c>
      <c r="R16" s="114">
        <v>3207.55</v>
      </c>
      <c r="S16" s="114">
        <v>3207.55</v>
      </c>
      <c r="T16" s="122">
        <f>SUM(C16:N16)</f>
        <v>39609.730000000003</v>
      </c>
      <c r="U16" s="122">
        <f>SUM(H16:S16)</f>
        <v>39468.740000000005</v>
      </c>
    </row>
    <row r="17" spans="2:21">
      <c r="B17" s="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22"/>
      <c r="U17" s="122"/>
    </row>
    <row r="18" spans="2:21">
      <c r="B18" s="14" t="s">
        <v>32</v>
      </c>
      <c r="C18" s="114">
        <v>3126.67</v>
      </c>
      <c r="D18" s="114">
        <v>2780</v>
      </c>
      <c r="E18" s="114">
        <v>3135</v>
      </c>
      <c r="F18" s="114">
        <v>3780.14</v>
      </c>
      <c r="G18" s="114">
        <v>3356.93</v>
      </c>
      <c r="H18" s="114">
        <v>2171</v>
      </c>
      <c r="I18" s="114">
        <v>3356.93</v>
      </c>
      <c r="J18" s="114">
        <v>4171</v>
      </c>
      <c r="K18" s="114">
        <v>3911</v>
      </c>
      <c r="L18" s="114">
        <v>3405.96</v>
      </c>
      <c r="M18" s="114">
        <v>3207.55</v>
      </c>
      <c r="N18" s="114">
        <v>3207.55</v>
      </c>
      <c r="O18" s="114">
        <v>3207.55</v>
      </c>
      <c r="P18" s="114">
        <v>3207.55</v>
      </c>
      <c r="Q18" s="114">
        <v>3207.55</v>
      </c>
      <c r="R18" s="114">
        <v>3207.55</v>
      </c>
      <c r="S18" s="114">
        <v>3207.55</v>
      </c>
      <c r="T18" s="122">
        <f>SUM(C18:N18)</f>
        <v>39609.730000000003</v>
      </c>
      <c r="U18" s="122">
        <f>SUM(H18:S18)</f>
        <v>39468.740000000005</v>
      </c>
    </row>
    <row r="19" spans="2:21">
      <c r="B19" s="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22"/>
      <c r="U19" s="122"/>
    </row>
    <row r="20" spans="2:21">
      <c r="B20" s="14" t="s">
        <v>33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22"/>
      <c r="U20" s="122"/>
    </row>
    <row r="21" spans="2:21">
      <c r="B21" s="14" t="s">
        <v>34</v>
      </c>
      <c r="C21" s="114">
        <v>3126.67</v>
      </c>
      <c r="D21" s="114">
        <v>2780</v>
      </c>
      <c r="E21" s="114">
        <v>3135</v>
      </c>
      <c r="F21" s="114">
        <v>3780.14</v>
      </c>
      <c r="G21" s="114">
        <v>999</v>
      </c>
      <c r="H21" s="114">
        <v>2171</v>
      </c>
      <c r="I21" s="114">
        <v>3356.93</v>
      </c>
      <c r="J21" s="114">
        <v>1033</v>
      </c>
      <c r="K21" s="114">
        <v>3911</v>
      </c>
      <c r="L21" s="114">
        <v>3212</v>
      </c>
      <c r="M21" s="114"/>
      <c r="N21" s="114">
        <v>3207.55</v>
      </c>
      <c r="O21" s="114">
        <v>3207.55</v>
      </c>
      <c r="P21" s="114">
        <v>3207.55</v>
      </c>
      <c r="Q21" s="114">
        <v>2000</v>
      </c>
      <c r="R21" s="114">
        <v>3207.55</v>
      </c>
      <c r="S21" s="114">
        <v>1900</v>
      </c>
      <c r="T21" s="122">
        <f>SUM(C21:N21)</f>
        <v>30712.289999999997</v>
      </c>
      <c r="U21" s="122">
        <f>SUM(H21:S21)</f>
        <v>30414.129999999997</v>
      </c>
    </row>
    <row r="22" spans="2:21">
      <c r="B22" s="14" t="s">
        <v>35</v>
      </c>
      <c r="C22" s="114">
        <v>112</v>
      </c>
      <c r="D22" s="114">
        <v>2130</v>
      </c>
      <c r="E22" s="114">
        <v>4255</v>
      </c>
      <c r="F22" s="114">
        <v>250</v>
      </c>
      <c r="G22" s="114">
        <v>3356.93</v>
      </c>
      <c r="H22" s="114">
        <v>2171</v>
      </c>
      <c r="I22" s="114">
        <v>888</v>
      </c>
      <c r="J22" s="114">
        <v>4171</v>
      </c>
      <c r="K22" s="114">
        <v>1832</v>
      </c>
      <c r="L22" s="114">
        <v>1515</v>
      </c>
      <c r="M22" s="114">
        <v>99</v>
      </c>
      <c r="N22" s="114">
        <v>1995</v>
      </c>
      <c r="O22" s="114">
        <v>1995</v>
      </c>
      <c r="P22" s="114">
        <v>795</v>
      </c>
      <c r="Q22" s="114">
        <v>1995</v>
      </c>
      <c r="R22" s="114">
        <v>1995</v>
      </c>
      <c r="S22" s="114">
        <v>1995</v>
      </c>
      <c r="T22" s="122">
        <f>SUM(C22:N22)</f>
        <v>22774.93</v>
      </c>
      <c r="U22" s="122">
        <f>SUM(H22:S22)</f>
        <v>21446</v>
      </c>
    </row>
    <row r="23" spans="2:21">
      <c r="B23" s="14" t="s">
        <v>36</v>
      </c>
      <c r="C23" s="114">
        <v>1100</v>
      </c>
      <c r="D23" s="114">
        <v>2780</v>
      </c>
      <c r="E23" s="114">
        <v>1115</v>
      </c>
      <c r="F23" s="114">
        <v>1200</v>
      </c>
      <c r="G23" s="114">
        <v>879</v>
      </c>
      <c r="H23" s="114">
        <v>2171</v>
      </c>
      <c r="I23" s="114">
        <v>3356.93</v>
      </c>
      <c r="J23" s="114">
        <v>2115</v>
      </c>
      <c r="K23" s="114">
        <v>3911</v>
      </c>
      <c r="L23" s="114">
        <v>3405.96</v>
      </c>
      <c r="M23" s="114">
        <v>3207.55</v>
      </c>
      <c r="N23" s="114">
        <v>1012</v>
      </c>
      <c r="O23" s="114">
        <v>777</v>
      </c>
      <c r="P23" s="114"/>
      <c r="Q23" s="114">
        <v>3207.55</v>
      </c>
      <c r="R23" s="114">
        <v>3207.55</v>
      </c>
      <c r="S23" s="114">
        <v>468</v>
      </c>
      <c r="T23" s="122">
        <f>SUM(C23:N23)</f>
        <v>26253.439999999999</v>
      </c>
      <c r="U23" s="122">
        <f>SUM(H23:S23)</f>
        <v>26839.539999999997</v>
      </c>
    </row>
    <row r="24" spans="2:21">
      <c r="B24" s="14" t="s">
        <v>38</v>
      </c>
      <c r="C24" s="115">
        <f>SUM(C21:C23)</f>
        <v>4338.67</v>
      </c>
      <c r="D24" s="115">
        <f t="shared" ref="D24:M24" si="6">SUM(D21:D23)</f>
        <v>7690</v>
      </c>
      <c r="E24" s="115">
        <f t="shared" si="6"/>
        <v>8505</v>
      </c>
      <c r="F24" s="115">
        <f t="shared" si="6"/>
        <v>5230.1399999999994</v>
      </c>
      <c r="G24" s="115">
        <f t="shared" si="6"/>
        <v>5234.93</v>
      </c>
      <c r="H24" s="115">
        <f t="shared" si="6"/>
        <v>6513</v>
      </c>
      <c r="I24" s="115">
        <f t="shared" si="6"/>
        <v>7601.8600000000006</v>
      </c>
      <c r="J24" s="115">
        <f t="shared" si="6"/>
        <v>7319</v>
      </c>
      <c r="K24" s="115">
        <f t="shared" si="6"/>
        <v>9654</v>
      </c>
      <c r="L24" s="115">
        <f t="shared" si="6"/>
        <v>8132.96</v>
      </c>
      <c r="M24" s="115">
        <f t="shared" si="6"/>
        <v>3306.55</v>
      </c>
      <c r="N24" s="115">
        <f t="shared" ref="N24:O24" si="7">SUM(N21:N23)</f>
        <v>6214.55</v>
      </c>
      <c r="O24" s="115">
        <f t="shared" si="7"/>
        <v>5979.55</v>
      </c>
      <c r="P24" s="115">
        <f t="shared" ref="P24:S24" si="8">SUM(P21:P23)</f>
        <v>4002.55</v>
      </c>
      <c r="Q24" s="115">
        <f t="shared" si="8"/>
        <v>7202.55</v>
      </c>
      <c r="R24" s="115">
        <f t="shared" si="8"/>
        <v>8410.1</v>
      </c>
      <c r="S24" s="115">
        <f t="shared" si="8"/>
        <v>4363</v>
      </c>
      <c r="T24" s="123">
        <f>SUM(C24:N24)</f>
        <v>79740.66</v>
      </c>
      <c r="U24" s="123">
        <f>SUM(H24:S24)</f>
        <v>78699.670000000013</v>
      </c>
    </row>
    <row r="25" spans="2:21">
      <c r="B25" s="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22"/>
      <c r="U25" s="122"/>
    </row>
    <row r="26" spans="2:21">
      <c r="B26" s="14" t="s">
        <v>37</v>
      </c>
      <c r="C26" s="108">
        <v>275</v>
      </c>
      <c r="D26" s="108">
        <v>275</v>
      </c>
      <c r="E26" s="108">
        <v>275</v>
      </c>
      <c r="F26" s="108">
        <v>275</v>
      </c>
      <c r="G26" s="108">
        <v>275</v>
      </c>
      <c r="H26" s="108">
        <v>275</v>
      </c>
      <c r="I26" s="108">
        <v>275</v>
      </c>
      <c r="J26" s="108">
        <v>275</v>
      </c>
      <c r="K26" s="108">
        <v>275</v>
      </c>
      <c r="L26" s="108">
        <v>275</v>
      </c>
      <c r="M26" s="108">
        <v>275</v>
      </c>
      <c r="N26" s="108">
        <v>275</v>
      </c>
      <c r="O26" s="108">
        <v>275</v>
      </c>
      <c r="P26" s="108">
        <v>275</v>
      </c>
      <c r="Q26" s="108">
        <v>275</v>
      </c>
      <c r="R26" s="108">
        <v>275</v>
      </c>
      <c r="S26" s="108">
        <v>275</v>
      </c>
      <c r="T26" s="122">
        <f>SUM(C26:N26)</f>
        <v>3300</v>
      </c>
      <c r="U26" s="122">
        <f>SUM(H26:S26)</f>
        <v>3300</v>
      </c>
    </row>
    <row r="27" spans="2:21">
      <c r="B27" s="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22"/>
      <c r="U27" s="122"/>
    </row>
    <row r="28" spans="2:21">
      <c r="B28" s="14" t="s">
        <v>39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22"/>
      <c r="U28" s="122"/>
    </row>
    <row r="29" spans="2:21">
      <c r="B29" s="14" t="s">
        <v>104</v>
      </c>
      <c r="C29" s="108">
        <v>115</v>
      </c>
      <c r="D29" s="108">
        <v>802</v>
      </c>
      <c r="E29" s="108">
        <v>207.54</v>
      </c>
      <c r="F29" s="108">
        <v>207.54</v>
      </c>
      <c r="G29" s="108">
        <v>300</v>
      </c>
      <c r="H29" s="108">
        <v>207.54</v>
      </c>
      <c r="I29" s="108">
        <v>207.54</v>
      </c>
      <c r="J29" s="108">
        <v>207.54</v>
      </c>
      <c r="K29" s="108">
        <v>300</v>
      </c>
      <c r="L29" s="108">
        <v>207.54</v>
      </c>
      <c r="M29" s="108">
        <v>207.54</v>
      </c>
      <c r="N29" s="108">
        <v>207.54</v>
      </c>
      <c r="O29" s="108">
        <v>207.54</v>
      </c>
      <c r="P29" s="108">
        <v>207.54</v>
      </c>
      <c r="Q29" s="108">
        <v>207.54</v>
      </c>
      <c r="R29" s="108">
        <v>207.54</v>
      </c>
      <c r="S29" s="108">
        <v>207.54</v>
      </c>
      <c r="T29" s="122">
        <f t="shared" ref="T29:T34" si="9">SUM(C29:N29)</f>
        <v>3177.3199999999997</v>
      </c>
      <c r="U29" s="122">
        <f t="shared" ref="U29:U34" si="10">SUM(H29:S29)</f>
        <v>2582.94</v>
      </c>
    </row>
    <row r="30" spans="2:21">
      <c r="B30" s="14" t="s">
        <v>40</v>
      </c>
      <c r="C30" s="112">
        <v>115</v>
      </c>
      <c r="D30" s="112">
        <v>207.54</v>
      </c>
      <c r="E30" s="108">
        <v>115</v>
      </c>
      <c r="F30" s="112">
        <v>207.54</v>
      </c>
      <c r="G30" s="112">
        <v>207.54</v>
      </c>
      <c r="H30" s="112">
        <v>96</v>
      </c>
      <c r="I30" s="112">
        <v>207.54</v>
      </c>
      <c r="J30" s="112">
        <v>96</v>
      </c>
      <c r="K30" s="112">
        <v>207.54</v>
      </c>
      <c r="L30" s="112">
        <v>207.54</v>
      </c>
      <c r="M30" s="112">
        <v>207.54</v>
      </c>
      <c r="N30" s="112">
        <v>207.54</v>
      </c>
      <c r="O30" s="112">
        <v>207.54</v>
      </c>
      <c r="P30" s="112">
        <v>207.54</v>
      </c>
      <c r="Q30" s="112">
        <v>207.54</v>
      </c>
      <c r="R30" s="112">
        <v>207.54</v>
      </c>
      <c r="S30" s="112">
        <v>207.54</v>
      </c>
      <c r="T30" s="122">
        <f t="shared" si="9"/>
        <v>2082.3199999999997</v>
      </c>
      <c r="U30" s="122">
        <f t="shared" si="10"/>
        <v>2267.3999999999996</v>
      </c>
    </row>
    <row r="31" spans="2:21">
      <c r="B31" s="14" t="s">
        <v>41</v>
      </c>
      <c r="C31" s="112">
        <v>207.54</v>
      </c>
      <c r="D31" s="112"/>
      <c r="E31" s="112"/>
      <c r="F31" s="108">
        <v>115</v>
      </c>
      <c r="G31" s="108">
        <v>802</v>
      </c>
      <c r="H31" s="112"/>
      <c r="I31" s="112">
        <v>207.54</v>
      </c>
      <c r="J31" s="112"/>
      <c r="K31" s="112"/>
      <c r="L31" s="112"/>
      <c r="M31" s="112">
        <v>199</v>
      </c>
      <c r="N31" s="112"/>
      <c r="O31" s="112"/>
      <c r="P31" s="112"/>
      <c r="Q31" s="112"/>
      <c r="R31" s="112">
        <v>400</v>
      </c>
      <c r="S31" s="112">
        <v>199</v>
      </c>
      <c r="T31" s="122">
        <f t="shared" si="9"/>
        <v>1531.08</v>
      </c>
      <c r="U31" s="122">
        <f t="shared" si="10"/>
        <v>1005.54</v>
      </c>
    </row>
    <row r="32" spans="2:21">
      <c r="B32" s="14" t="s">
        <v>42</v>
      </c>
      <c r="C32" s="112"/>
      <c r="D32" s="112">
        <v>96</v>
      </c>
      <c r="E32" s="112">
        <v>207.54</v>
      </c>
      <c r="F32" s="112"/>
      <c r="G32" s="112"/>
      <c r="H32" s="112">
        <v>207.54</v>
      </c>
      <c r="I32" s="108">
        <v>115</v>
      </c>
      <c r="J32" s="108">
        <v>802</v>
      </c>
      <c r="K32" s="108">
        <v>802</v>
      </c>
      <c r="L32" s="112"/>
      <c r="M32" s="112">
        <v>99</v>
      </c>
      <c r="N32" s="112"/>
      <c r="O32" s="112"/>
      <c r="P32" s="112">
        <v>399</v>
      </c>
      <c r="Q32" s="112"/>
      <c r="R32" s="112"/>
      <c r="S32" s="112">
        <v>207.54</v>
      </c>
      <c r="T32" s="122">
        <f t="shared" si="9"/>
        <v>2329.08</v>
      </c>
      <c r="U32" s="122">
        <f t="shared" si="10"/>
        <v>2632.08</v>
      </c>
    </row>
    <row r="33" spans="2:21">
      <c r="B33" s="14" t="s">
        <v>43</v>
      </c>
      <c r="C33" s="112">
        <v>96</v>
      </c>
      <c r="D33" s="112">
        <v>207.54</v>
      </c>
      <c r="E33" s="112"/>
      <c r="F33" s="112"/>
      <c r="G33" s="112"/>
      <c r="H33" s="112"/>
      <c r="I33" s="112">
        <v>207.54</v>
      </c>
      <c r="J33" s="112">
        <v>207.54</v>
      </c>
      <c r="K33" s="112"/>
      <c r="L33" s="108">
        <v>115</v>
      </c>
      <c r="M33" s="112">
        <v>200</v>
      </c>
      <c r="N33" s="112"/>
      <c r="O33" s="112"/>
      <c r="P33" s="112"/>
      <c r="Q33" s="112">
        <v>200</v>
      </c>
      <c r="R33" s="112"/>
      <c r="S33" s="112">
        <v>200</v>
      </c>
      <c r="T33" s="122">
        <f t="shared" si="9"/>
        <v>1033.6199999999999</v>
      </c>
      <c r="U33" s="122">
        <f t="shared" si="10"/>
        <v>1130.08</v>
      </c>
    </row>
    <row r="34" spans="2:21">
      <c r="B34" s="14" t="s">
        <v>44</v>
      </c>
      <c r="C34" s="115">
        <f t="shared" ref="C34:M34" si="11">SUM(C29:C33)</f>
        <v>533.54</v>
      </c>
      <c r="D34" s="115">
        <f t="shared" si="11"/>
        <v>1313.08</v>
      </c>
      <c r="E34" s="115">
        <f t="shared" si="11"/>
        <v>530.07999999999993</v>
      </c>
      <c r="F34" s="115">
        <f t="shared" si="11"/>
        <v>530.07999999999993</v>
      </c>
      <c r="G34" s="115">
        <f t="shared" si="11"/>
        <v>1309.54</v>
      </c>
      <c r="H34" s="115">
        <f t="shared" si="11"/>
        <v>511.07999999999993</v>
      </c>
      <c r="I34" s="115">
        <f t="shared" si="11"/>
        <v>945.16</v>
      </c>
      <c r="J34" s="115">
        <f t="shared" si="11"/>
        <v>1313.08</v>
      </c>
      <c r="K34" s="115">
        <f t="shared" si="11"/>
        <v>1309.54</v>
      </c>
      <c r="L34" s="115">
        <f t="shared" si="11"/>
        <v>530.07999999999993</v>
      </c>
      <c r="M34" s="115">
        <f t="shared" si="11"/>
        <v>913.07999999999993</v>
      </c>
      <c r="N34" s="115">
        <f t="shared" ref="N34:O34" si="12">SUM(N29:N33)</f>
        <v>415.08</v>
      </c>
      <c r="O34" s="115">
        <f t="shared" si="12"/>
        <v>415.08</v>
      </c>
      <c r="P34" s="115">
        <f t="shared" ref="P34:S34" si="13">SUM(P29:P33)</f>
        <v>814.07999999999993</v>
      </c>
      <c r="Q34" s="115">
        <f t="shared" si="13"/>
        <v>615.07999999999993</v>
      </c>
      <c r="R34" s="115">
        <f t="shared" si="13"/>
        <v>815.07999999999993</v>
      </c>
      <c r="S34" s="115">
        <f t="shared" si="13"/>
        <v>1021.6199999999999</v>
      </c>
      <c r="T34" s="123">
        <f t="shared" si="9"/>
        <v>10153.42</v>
      </c>
      <c r="U34" s="123">
        <f t="shared" si="10"/>
        <v>9618.0399999999972</v>
      </c>
    </row>
    <row r="35" spans="2:21">
      <c r="B35" s="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22"/>
      <c r="U35" s="122"/>
    </row>
    <row r="36" spans="2:21">
      <c r="B36" s="14" t="s">
        <v>45</v>
      </c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22"/>
      <c r="U36" s="122"/>
    </row>
    <row r="37" spans="2:21">
      <c r="B37" s="14" t="s">
        <v>46</v>
      </c>
      <c r="C37" s="108">
        <v>200</v>
      </c>
      <c r="D37" s="108">
        <v>200</v>
      </c>
      <c r="E37" s="108">
        <v>200</v>
      </c>
      <c r="F37" s="108">
        <v>200</v>
      </c>
      <c r="G37" s="108">
        <v>200</v>
      </c>
      <c r="H37" s="108">
        <v>200</v>
      </c>
      <c r="I37" s="108">
        <v>200</v>
      </c>
      <c r="J37" s="108">
        <v>200</v>
      </c>
      <c r="K37" s="108">
        <v>200</v>
      </c>
      <c r="L37" s="108">
        <v>200</v>
      </c>
      <c r="M37" s="108">
        <v>200</v>
      </c>
      <c r="N37" s="108">
        <v>200</v>
      </c>
      <c r="O37" s="108">
        <v>200</v>
      </c>
      <c r="P37" s="108">
        <v>200</v>
      </c>
      <c r="Q37" s="108">
        <v>200</v>
      </c>
      <c r="R37" s="108">
        <v>200</v>
      </c>
      <c r="S37" s="108">
        <v>200</v>
      </c>
      <c r="T37" s="122">
        <f>SUM(C37:N37)</f>
        <v>2400</v>
      </c>
      <c r="U37" s="122">
        <f>SUM(H37:S37)</f>
        <v>2400</v>
      </c>
    </row>
    <row r="38" spans="2:21">
      <c r="B38" s="14" t="s">
        <v>47</v>
      </c>
      <c r="C38" s="108">
        <v>600</v>
      </c>
      <c r="D38" s="108"/>
      <c r="E38" s="108"/>
      <c r="F38" s="108"/>
      <c r="G38" s="108"/>
      <c r="H38" s="108">
        <v>400</v>
      </c>
      <c r="I38" s="108"/>
      <c r="J38" s="108"/>
      <c r="K38" s="108"/>
      <c r="L38" s="108">
        <v>200</v>
      </c>
      <c r="M38" s="108"/>
      <c r="N38" s="108"/>
      <c r="O38" s="108"/>
      <c r="P38" s="108"/>
      <c r="Q38" s="108">
        <v>200</v>
      </c>
      <c r="R38" s="108"/>
      <c r="S38" s="108"/>
      <c r="T38" s="122">
        <f>SUM(C38:N38)</f>
        <v>1200</v>
      </c>
      <c r="U38" s="122">
        <f>SUM(H38:S38)</f>
        <v>800</v>
      </c>
    </row>
    <row r="39" spans="2:21">
      <c r="B39" s="14" t="s">
        <v>48</v>
      </c>
      <c r="C39" s="115">
        <f t="shared" ref="C39:M39" si="14">SUM(C37:C38)</f>
        <v>800</v>
      </c>
      <c r="D39" s="115">
        <f t="shared" si="14"/>
        <v>200</v>
      </c>
      <c r="E39" s="115">
        <f t="shared" si="14"/>
        <v>200</v>
      </c>
      <c r="F39" s="115">
        <f t="shared" si="14"/>
        <v>200</v>
      </c>
      <c r="G39" s="115">
        <f t="shared" si="14"/>
        <v>200</v>
      </c>
      <c r="H39" s="115">
        <f t="shared" si="14"/>
        <v>600</v>
      </c>
      <c r="I39" s="115">
        <f t="shared" si="14"/>
        <v>200</v>
      </c>
      <c r="J39" s="115">
        <f t="shared" si="14"/>
        <v>200</v>
      </c>
      <c r="K39" s="115">
        <f t="shared" si="14"/>
        <v>200</v>
      </c>
      <c r="L39" s="115">
        <f t="shared" si="14"/>
        <v>400</v>
      </c>
      <c r="M39" s="115">
        <f t="shared" si="14"/>
        <v>200</v>
      </c>
      <c r="N39" s="115">
        <f t="shared" ref="N39:O39" si="15">SUM(N37:N38)</f>
        <v>200</v>
      </c>
      <c r="O39" s="115">
        <f t="shared" si="15"/>
        <v>200</v>
      </c>
      <c r="P39" s="115">
        <f t="shared" ref="P39:S39" si="16">SUM(P37:P38)</f>
        <v>200</v>
      </c>
      <c r="Q39" s="115">
        <f t="shared" si="16"/>
        <v>400</v>
      </c>
      <c r="R39" s="115">
        <f t="shared" si="16"/>
        <v>200</v>
      </c>
      <c r="S39" s="115">
        <f t="shared" si="16"/>
        <v>200</v>
      </c>
      <c r="T39" s="123">
        <f>SUM(C39:N39)</f>
        <v>3600</v>
      </c>
      <c r="U39" s="123">
        <f>SUM(H39:S39)</f>
        <v>3200</v>
      </c>
    </row>
    <row r="40" spans="2:21">
      <c r="B40" s="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22"/>
      <c r="U40" s="122"/>
    </row>
    <row r="41" spans="2:21" ht="21.6">
      <c r="B41" s="14" t="s">
        <v>49</v>
      </c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22"/>
      <c r="U41" s="122"/>
    </row>
    <row r="42" spans="2:21">
      <c r="B42" s="14" t="s">
        <v>50</v>
      </c>
      <c r="C42" s="108">
        <v>25</v>
      </c>
      <c r="D42" s="108"/>
      <c r="E42" s="108"/>
      <c r="F42" s="108">
        <v>100</v>
      </c>
      <c r="G42" s="108"/>
      <c r="H42" s="108"/>
      <c r="I42" s="108"/>
      <c r="J42" s="108"/>
      <c r="K42" s="108"/>
      <c r="L42" s="108"/>
      <c r="M42" s="108">
        <v>50</v>
      </c>
      <c r="N42" s="108"/>
      <c r="O42" s="108"/>
      <c r="P42" s="108"/>
      <c r="Q42" s="108">
        <v>100</v>
      </c>
      <c r="R42" s="108"/>
      <c r="S42" s="108">
        <v>15</v>
      </c>
      <c r="T42" s="122">
        <f>SUM(C42:N42)</f>
        <v>175</v>
      </c>
      <c r="U42" s="122">
        <f>SUM(H42:S42)</f>
        <v>165</v>
      </c>
    </row>
    <row r="43" spans="2:21">
      <c r="B43" s="14" t="s">
        <v>51</v>
      </c>
      <c r="C43" s="108">
        <v>10</v>
      </c>
      <c r="D43" s="108"/>
      <c r="E43" s="108"/>
      <c r="F43" s="108"/>
      <c r="G43" s="108">
        <v>45</v>
      </c>
      <c r="H43" s="108"/>
      <c r="I43" s="108">
        <v>88</v>
      </c>
      <c r="J43" s="108"/>
      <c r="K43" s="108"/>
      <c r="L43" s="108"/>
      <c r="M43" s="108"/>
      <c r="N43" s="108">
        <v>29</v>
      </c>
      <c r="O43" s="108"/>
      <c r="P43" s="108"/>
      <c r="Q43" s="108"/>
      <c r="R43" s="108">
        <v>12</v>
      </c>
      <c r="S43" s="108">
        <v>20</v>
      </c>
      <c r="T43" s="122">
        <f>SUM(C43:N43)</f>
        <v>172</v>
      </c>
      <c r="U43" s="122">
        <f>SUM(H43:S43)</f>
        <v>149</v>
      </c>
    </row>
    <row r="44" spans="2:21">
      <c r="B44" s="14" t="s">
        <v>54</v>
      </c>
      <c r="C44" s="108">
        <v>200</v>
      </c>
      <c r="D44" s="108"/>
      <c r="E44" s="108"/>
      <c r="F44" s="108"/>
      <c r="G44" s="108"/>
      <c r="H44" s="108"/>
      <c r="I44" s="108"/>
      <c r="J44" s="108">
        <v>92</v>
      </c>
      <c r="K44" s="108"/>
      <c r="L44" s="108">
        <v>66</v>
      </c>
      <c r="M44" s="108">
        <v>20</v>
      </c>
      <c r="N44" s="108"/>
      <c r="O44" s="108">
        <v>82</v>
      </c>
      <c r="P44" s="108"/>
      <c r="Q44" s="108"/>
      <c r="R44" s="108">
        <v>9</v>
      </c>
      <c r="S44" s="108">
        <v>25</v>
      </c>
      <c r="T44" s="122">
        <f>SUM(C44:O44)</f>
        <v>460</v>
      </c>
      <c r="U44" s="122">
        <f>SUM(H44:S44)</f>
        <v>294</v>
      </c>
    </row>
    <row r="45" spans="2:21">
      <c r="B45" s="14" t="s">
        <v>52</v>
      </c>
      <c r="C45" s="115">
        <f t="shared" ref="C45:M45" si="17">SUM(C42:C44)</f>
        <v>235</v>
      </c>
      <c r="D45" s="115">
        <f t="shared" si="17"/>
        <v>0</v>
      </c>
      <c r="E45" s="115">
        <f t="shared" si="17"/>
        <v>0</v>
      </c>
      <c r="F45" s="115">
        <f t="shared" si="17"/>
        <v>100</v>
      </c>
      <c r="G45" s="115">
        <f t="shared" si="17"/>
        <v>45</v>
      </c>
      <c r="H45" s="115">
        <f t="shared" si="17"/>
        <v>0</v>
      </c>
      <c r="I45" s="115">
        <f t="shared" si="17"/>
        <v>88</v>
      </c>
      <c r="J45" s="115">
        <f t="shared" si="17"/>
        <v>92</v>
      </c>
      <c r="K45" s="115">
        <f t="shared" si="17"/>
        <v>0</v>
      </c>
      <c r="L45" s="115">
        <f t="shared" si="17"/>
        <v>66</v>
      </c>
      <c r="M45" s="115">
        <f t="shared" si="17"/>
        <v>70</v>
      </c>
      <c r="N45" s="115">
        <f t="shared" ref="N45:O45" si="18">SUM(N42:N44)</f>
        <v>29</v>
      </c>
      <c r="O45" s="115">
        <f t="shared" si="18"/>
        <v>82</v>
      </c>
      <c r="P45" s="115">
        <f t="shared" ref="P45:S45" si="19">SUM(P42:P44)</f>
        <v>0</v>
      </c>
      <c r="Q45" s="115">
        <f t="shared" si="19"/>
        <v>100</v>
      </c>
      <c r="R45" s="115">
        <f t="shared" si="19"/>
        <v>21</v>
      </c>
      <c r="S45" s="115">
        <f t="shared" si="19"/>
        <v>60</v>
      </c>
      <c r="T45" s="123">
        <f>SUM(C45:N45)</f>
        <v>725</v>
      </c>
      <c r="U45" s="123">
        <f>SUM(H45:S45)</f>
        <v>608</v>
      </c>
    </row>
    <row r="46" spans="2:21">
      <c r="B46" s="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22"/>
      <c r="U46" s="122"/>
    </row>
    <row r="47" spans="2:21">
      <c r="B47" s="14" t="s">
        <v>53</v>
      </c>
      <c r="C47" s="108">
        <f>0.03*C13</f>
        <v>1779.6407999999999</v>
      </c>
      <c r="D47" s="108">
        <f t="shared" ref="D47:M47" si="20">0.03*D13</f>
        <v>1810.5998999999999</v>
      </c>
      <c r="E47" s="108">
        <f t="shared" si="20"/>
        <v>1834.9292999999998</v>
      </c>
      <c r="F47" s="108">
        <f t="shared" si="20"/>
        <v>1858.9634999999998</v>
      </c>
      <c r="G47" s="108">
        <f t="shared" si="20"/>
        <v>1868.5025999999998</v>
      </c>
      <c r="H47" s="108">
        <f t="shared" si="20"/>
        <v>1835.9853000000001</v>
      </c>
      <c r="I47" s="108">
        <f t="shared" si="20"/>
        <v>1841.5025999999998</v>
      </c>
      <c r="J47" s="108">
        <f t="shared" si="20"/>
        <v>1809.6035999999999</v>
      </c>
      <c r="K47" s="108">
        <f t="shared" si="20"/>
        <v>1860.96</v>
      </c>
      <c r="L47" s="108">
        <f t="shared" si="20"/>
        <v>1726.8</v>
      </c>
      <c r="M47" s="108">
        <f t="shared" si="20"/>
        <v>1845.8249999999998</v>
      </c>
      <c r="N47" s="108">
        <f t="shared" ref="N47:O47" si="21">0.03*N13</f>
        <v>1845.8249999999998</v>
      </c>
      <c r="O47" s="108">
        <f t="shared" si="21"/>
        <v>1828.575</v>
      </c>
      <c r="P47" s="108">
        <f t="shared" ref="P47:S47" si="22">0.03*P13</f>
        <v>1845.8249999999998</v>
      </c>
      <c r="Q47" s="108">
        <f t="shared" si="22"/>
        <v>1845.8249999999998</v>
      </c>
      <c r="R47" s="108">
        <f t="shared" si="22"/>
        <v>1845.8249999999998</v>
      </c>
      <c r="S47" s="108">
        <f t="shared" si="22"/>
        <v>1845.8249999999998</v>
      </c>
      <c r="T47" s="122">
        <f>SUM(C47:N47)</f>
        <v>21919.137600000002</v>
      </c>
      <c r="U47" s="122">
        <f>SUM(H47:S47)</f>
        <v>21978.376500000006</v>
      </c>
    </row>
    <row r="48" spans="2:21">
      <c r="B48" s="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22"/>
      <c r="U48" s="122"/>
    </row>
    <row r="49" spans="2:21">
      <c r="B49" s="14" t="s">
        <v>27</v>
      </c>
      <c r="C49" s="116">
        <f>C47+C45+C39+C34+C26+C24+C18+C16</f>
        <v>14215.1908</v>
      </c>
      <c r="D49" s="116">
        <f t="shared" ref="D49:M49" si="23">D47+D45+D39+D34+D26+D24+D18+D16</f>
        <v>16848.679899999999</v>
      </c>
      <c r="E49" s="116">
        <f t="shared" si="23"/>
        <v>17615.009299999998</v>
      </c>
      <c r="F49" s="116">
        <f t="shared" si="23"/>
        <v>15754.463499999998</v>
      </c>
      <c r="G49" s="116">
        <f t="shared" si="23"/>
        <v>15646.832600000002</v>
      </c>
      <c r="H49" s="116">
        <f t="shared" si="23"/>
        <v>14077.0653</v>
      </c>
      <c r="I49" s="116">
        <f t="shared" si="23"/>
        <v>17665.382600000001</v>
      </c>
      <c r="J49" s="116">
        <f t="shared" si="23"/>
        <v>19350.6836</v>
      </c>
      <c r="K49" s="116">
        <f t="shared" si="23"/>
        <v>21121.5</v>
      </c>
      <c r="L49" s="116">
        <f t="shared" si="23"/>
        <v>17942.759999999998</v>
      </c>
      <c r="M49" s="116">
        <f t="shared" si="23"/>
        <v>13025.555</v>
      </c>
      <c r="N49" s="116">
        <f t="shared" ref="N49:O49" si="24">N47+N45+N39+N34+N26+N24+N18+N16</f>
        <v>15394.555</v>
      </c>
      <c r="O49" s="116">
        <f t="shared" si="24"/>
        <v>15195.305</v>
      </c>
      <c r="P49" s="116">
        <f t="shared" ref="P49:S49" si="25">P47+P45+P39+P34+P26+P24+P18+P16</f>
        <v>13552.555</v>
      </c>
      <c r="Q49" s="116">
        <f t="shared" si="25"/>
        <v>16853.555</v>
      </c>
      <c r="R49" s="116">
        <f t="shared" si="25"/>
        <v>17982.105</v>
      </c>
      <c r="S49" s="116">
        <f t="shared" si="25"/>
        <v>14180.544999999998</v>
      </c>
      <c r="T49" s="121">
        <f>SUM(C49:N49)</f>
        <v>198657.6776</v>
      </c>
      <c r="U49" s="121">
        <f>SUM(H49:S49)</f>
        <v>196341.56649999996</v>
      </c>
    </row>
    <row r="50" spans="2:21"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24"/>
      <c r="U50" s="124"/>
    </row>
    <row r="51" spans="2:21">
      <c r="B51" s="14" t="s">
        <v>55</v>
      </c>
      <c r="C51" s="116">
        <f t="shared" ref="C51:M51" si="26">C13-C49</f>
        <v>45106.169200000004</v>
      </c>
      <c r="D51" s="116">
        <f t="shared" si="26"/>
        <v>43504.650099999999</v>
      </c>
      <c r="E51" s="116">
        <f t="shared" si="26"/>
        <v>43549.3007</v>
      </c>
      <c r="F51" s="116">
        <f t="shared" si="26"/>
        <v>46210.986499999999</v>
      </c>
      <c r="G51" s="116">
        <f t="shared" si="26"/>
        <v>46636.587399999997</v>
      </c>
      <c r="H51" s="116">
        <f t="shared" si="26"/>
        <v>47122.4447</v>
      </c>
      <c r="I51" s="116">
        <f t="shared" si="26"/>
        <v>43718.037400000001</v>
      </c>
      <c r="J51" s="116">
        <f t="shared" si="26"/>
        <v>40969.436400000006</v>
      </c>
      <c r="K51" s="116">
        <f t="shared" si="26"/>
        <v>40910.5</v>
      </c>
      <c r="L51" s="116">
        <f t="shared" si="26"/>
        <v>39617.240000000005</v>
      </c>
      <c r="M51" s="116">
        <f t="shared" si="26"/>
        <v>48501.945</v>
      </c>
      <c r="N51" s="116">
        <f t="shared" ref="N51:O51" si="27">N13-N49</f>
        <v>46132.945</v>
      </c>
      <c r="O51" s="116">
        <f t="shared" si="27"/>
        <v>45757.195</v>
      </c>
      <c r="P51" s="116">
        <f t="shared" ref="P51:S51" si="28">P13-P49</f>
        <v>47974.945</v>
      </c>
      <c r="Q51" s="116">
        <f t="shared" si="28"/>
        <v>44673.945</v>
      </c>
      <c r="R51" s="116">
        <f t="shared" si="28"/>
        <v>43545.395000000004</v>
      </c>
      <c r="S51" s="116">
        <f t="shared" si="28"/>
        <v>47346.955000000002</v>
      </c>
      <c r="T51" s="121">
        <f>SUM(C51:N51)</f>
        <v>531980.24239999999</v>
      </c>
      <c r="U51" s="121">
        <f>SUM(H51:S51)</f>
        <v>536270.98350000009</v>
      </c>
    </row>
  </sheetData>
  <phoneticPr fontId="26" type="noConversion"/>
  <pageMargins left="0.7" right="0.7" top="0.75" bottom="0.75" header="0.3" footer="0.3"/>
  <pageSetup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1"/>
  <sheetViews>
    <sheetView zoomScale="70" zoomScaleNormal="70" workbookViewId="0">
      <selection activeCell="C2" sqref="C2"/>
    </sheetView>
  </sheetViews>
  <sheetFormatPr defaultRowHeight="14.4"/>
  <cols>
    <col min="1" max="1" width="10.6640625" bestFit="1" customWidth="1"/>
    <col min="2" max="2" width="28.77734375" bestFit="1" customWidth="1"/>
    <col min="3" max="3" width="19.5546875" bestFit="1" customWidth="1"/>
    <col min="4" max="4" width="14.5546875" bestFit="1" customWidth="1"/>
    <col min="5" max="5" width="10" bestFit="1" customWidth="1"/>
    <col min="6" max="6" width="18.6640625" bestFit="1" customWidth="1"/>
    <col min="7" max="7" width="14.33203125" bestFit="1" customWidth="1"/>
    <col min="9" max="9" width="18.6640625" bestFit="1" customWidth="1"/>
    <col min="10" max="10" width="14.88671875" bestFit="1" customWidth="1"/>
    <col min="12" max="12" width="18.6640625" bestFit="1" customWidth="1"/>
    <col min="13" max="13" width="14.88671875" bestFit="1" customWidth="1"/>
  </cols>
  <sheetData>
    <row r="1" spans="2:14">
      <c r="C1" t="s">
        <v>61</v>
      </c>
      <c r="D1">
        <v>18</v>
      </c>
    </row>
    <row r="2" spans="2:14">
      <c r="B2" s="48" t="s">
        <v>147</v>
      </c>
    </row>
    <row r="3" spans="2:14" ht="15.6">
      <c r="B3" s="27" t="s">
        <v>57</v>
      </c>
      <c r="C3" s="135" t="s">
        <v>100</v>
      </c>
      <c r="D3" s="136"/>
      <c r="E3" s="15"/>
      <c r="F3" s="136" t="s">
        <v>105</v>
      </c>
      <c r="G3" s="136"/>
      <c r="I3" s="136" t="s">
        <v>106</v>
      </c>
      <c r="J3" s="136"/>
      <c r="L3" s="136" t="s">
        <v>107</v>
      </c>
      <c r="M3" s="136"/>
    </row>
    <row r="4" spans="2:14" ht="15.6">
      <c r="B4" s="16"/>
      <c r="C4" s="17" t="s">
        <v>23</v>
      </c>
      <c r="D4" s="18" t="s">
        <v>56</v>
      </c>
      <c r="F4" s="17" t="s">
        <v>23</v>
      </c>
      <c r="G4" s="18" t="s">
        <v>56</v>
      </c>
      <c r="I4" s="17" t="s">
        <v>23</v>
      </c>
      <c r="J4" s="18" t="s">
        <v>56</v>
      </c>
      <c r="L4" s="17" t="s">
        <v>23</v>
      </c>
      <c r="M4" s="18" t="s">
        <v>56</v>
      </c>
    </row>
    <row r="5" spans="2:14" ht="15.6">
      <c r="B5" s="20" t="s">
        <v>119</v>
      </c>
      <c r="C5" s="21">
        <v>1558488</v>
      </c>
      <c r="D5" s="22">
        <f>C5/$D$1</f>
        <v>86582.666666666672</v>
      </c>
      <c r="F5" s="21">
        <v>2159809</v>
      </c>
      <c r="G5" s="22">
        <f>F5/$D$1</f>
        <v>119989.38888888889</v>
      </c>
      <c r="I5" s="21">
        <v>2319552</v>
      </c>
      <c r="J5" s="22">
        <f>I5/$D$1</f>
        <v>128864</v>
      </c>
      <c r="L5" s="21">
        <v>2389138</v>
      </c>
      <c r="M5" s="22">
        <f>L5/$D$1</f>
        <v>132729.88888888888</v>
      </c>
    </row>
    <row r="6" spans="2:14" ht="15.6">
      <c r="B6" s="20" t="s">
        <v>108</v>
      </c>
      <c r="C6" s="23">
        <f>-E6*C5</f>
        <v>-77924.400000000009</v>
      </c>
      <c r="D6" s="44">
        <f t="shared" ref="D6:D34" si="0">C6/$D$1</f>
        <v>-4329.1333333333341</v>
      </c>
      <c r="E6" s="24">
        <v>0.05</v>
      </c>
      <c r="F6" s="23">
        <f>-H6*F5</f>
        <v>-107990.45000000001</v>
      </c>
      <c r="G6" s="44">
        <f t="shared" ref="G6:G15" si="1">F6/$D$1</f>
        <v>-5999.4694444444449</v>
      </c>
      <c r="H6" s="24">
        <v>0.05</v>
      </c>
      <c r="I6" s="23">
        <f>-K6*I5</f>
        <v>-115977.60000000001</v>
      </c>
      <c r="J6" s="44">
        <f t="shared" ref="J6:J15" si="2">I6/$D$1</f>
        <v>-6443.2000000000007</v>
      </c>
      <c r="K6" s="24">
        <v>0.05</v>
      </c>
      <c r="L6" s="23">
        <f>-N6*L5</f>
        <v>-119456.90000000001</v>
      </c>
      <c r="M6" s="44">
        <f t="shared" ref="M6:M15" si="3">L6/$D$1</f>
        <v>-6636.4944444444445</v>
      </c>
      <c r="N6" s="24">
        <v>0.05</v>
      </c>
    </row>
    <row r="7" spans="2:14" ht="15.6">
      <c r="B7" s="20" t="s">
        <v>149</v>
      </c>
      <c r="C7" s="23"/>
      <c r="D7" s="127"/>
      <c r="E7" s="24"/>
      <c r="F7" s="23"/>
      <c r="G7" s="127"/>
      <c r="H7" s="24"/>
      <c r="I7" s="23"/>
      <c r="J7" s="127"/>
      <c r="K7" s="24"/>
      <c r="L7" s="23"/>
      <c r="M7" s="127"/>
      <c r="N7" s="24"/>
    </row>
    <row r="8" spans="2:14" ht="15.6">
      <c r="B8" s="20" t="s">
        <v>148</v>
      </c>
      <c r="C8" s="23"/>
      <c r="D8" s="22">
        <f t="shared" si="0"/>
        <v>0</v>
      </c>
      <c r="F8" s="23"/>
      <c r="G8" s="22">
        <f t="shared" si="1"/>
        <v>0</v>
      </c>
      <c r="I8" s="23"/>
      <c r="J8" s="22">
        <f t="shared" si="2"/>
        <v>0</v>
      </c>
      <c r="L8" s="23"/>
      <c r="M8" s="22">
        <f t="shared" si="3"/>
        <v>0</v>
      </c>
    </row>
    <row r="9" spans="2:14" ht="15.6">
      <c r="B9" s="20" t="s">
        <v>150</v>
      </c>
      <c r="C9" s="23"/>
      <c r="D9" s="126"/>
      <c r="F9" s="23"/>
      <c r="G9" s="126"/>
      <c r="I9" s="23"/>
      <c r="J9" s="126"/>
      <c r="L9" s="23"/>
      <c r="M9" s="126"/>
    </row>
    <row r="10" spans="2:14" ht="15.6">
      <c r="B10" s="20" t="s">
        <v>109</v>
      </c>
      <c r="C10" s="23">
        <v>-7792</v>
      </c>
      <c r="D10" s="22">
        <f t="shared" si="0"/>
        <v>-432.88888888888891</v>
      </c>
      <c r="F10" s="23">
        <v>-10799</v>
      </c>
      <c r="G10" s="22">
        <f t="shared" si="1"/>
        <v>-599.94444444444446</v>
      </c>
      <c r="I10" s="23">
        <v>-11598</v>
      </c>
      <c r="J10" s="22">
        <f t="shared" si="2"/>
        <v>-644.33333333333337</v>
      </c>
      <c r="L10" s="23">
        <v>-11946</v>
      </c>
      <c r="M10" s="22">
        <f t="shared" si="3"/>
        <v>-663.66666666666663</v>
      </c>
    </row>
    <row r="11" spans="2:14" ht="15.6">
      <c r="B11" s="20" t="s">
        <v>110</v>
      </c>
      <c r="C11" s="23">
        <v>1680</v>
      </c>
      <c r="D11" s="22">
        <f t="shared" si="0"/>
        <v>93.333333333333329</v>
      </c>
      <c r="F11" s="23">
        <v>1718</v>
      </c>
      <c r="G11" s="22">
        <f t="shared" si="1"/>
        <v>95.444444444444443</v>
      </c>
      <c r="I11" s="23">
        <v>1756</v>
      </c>
      <c r="J11" s="22">
        <f t="shared" si="2"/>
        <v>97.555555555555557</v>
      </c>
      <c r="L11" s="23">
        <v>1796</v>
      </c>
      <c r="M11" s="22">
        <f t="shared" si="3"/>
        <v>99.777777777777771</v>
      </c>
    </row>
    <row r="12" spans="2:14" ht="15.6">
      <c r="B12" s="20" t="s">
        <v>29</v>
      </c>
      <c r="C12" s="23">
        <v>15006</v>
      </c>
      <c r="D12" s="22">
        <f t="shared" si="0"/>
        <v>833.66666666666663</v>
      </c>
      <c r="F12" s="23">
        <v>29201</v>
      </c>
      <c r="G12" s="22">
        <f t="shared" si="1"/>
        <v>1622.2777777777778</v>
      </c>
      <c r="I12" s="23">
        <v>29201</v>
      </c>
      <c r="J12" s="22">
        <f t="shared" si="2"/>
        <v>1622.2777777777778</v>
      </c>
      <c r="L12" s="23">
        <v>29201</v>
      </c>
      <c r="M12" s="22">
        <f t="shared" si="3"/>
        <v>1622.2777777777778</v>
      </c>
    </row>
    <row r="13" spans="2:14" ht="15.6">
      <c r="B13" s="20" t="s">
        <v>111</v>
      </c>
      <c r="C13" s="23"/>
      <c r="D13" s="22">
        <f t="shared" si="0"/>
        <v>0</v>
      </c>
      <c r="F13" s="23"/>
      <c r="G13" s="22">
        <f t="shared" si="1"/>
        <v>0</v>
      </c>
      <c r="I13" s="23"/>
      <c r="J13" s="22">
        <f t="shared" si="2"/>
        <v>0</v>
      </c>
      <c r="L13" s="23"/>
      <c r="M13" s="22">
        <f t="shared" si="3"/>
        <v>0</v>
      </c>
    </row>
    <row r="14" spans="2:14" ht="15.6">
      <c r="B14" s="20" t="s">
        <v>112</v>
      </c>
      <c r="C14" s="23">
        <v>14112</v>
      </c>
      <c r="D14" s="22">
        <f t="shared" si="0"/>
        <v>784</v>
      </c>
      <c r="F14" s="23">
        <v>14430</v>
      </c>
      <c r="G14" s="22">
        <f t="shared" si="1"/>
        <v>801.66666666666663</v>
      </c>
      <c r="I14" s="23">
        <v>14754</v>
      </c>
      <c r="J14" s="22">
        <f t="shared" si="2"/>
        <v>819.66666666666663</v>
      </c>
      <c r="L14" s="23">
        <v>15086</v>
      </c>
      <c r="M14" s="22">
        <f t="shared" si="3"/>
        <v>838.11111111111109</v>
      </c>
    </row>
    <row r="15" spans="2:14" ht="15.6">
      <c r="B15" s="25" t="s">
        <v>23</v>
      </c>
      <c r="C15" s="26">
        <f>SUM(C5:C14)</f>
        <v>1503569.6</v>
      </c>
      <c r="D15" s="46">
        <f t="shared" si="0"/>
        <v>83531.64444444445</v>
      </c>
      <c r="F15" s="26">
        <f>SUM(F5:F14)</f>
        <v>2086368.55</v>
      </c>
      <c r="G15" s="46">
        <f t="shared" si="1"/>
        <v>115909.3638888889</v>
      </c>
      <c r="I15" s="26">
        <f>SUM(I5:I14)</f>
        <v>2237687.4</v>
      </c>
      <c r="J15" s="46">
        <f t="shared" si="2"/>
        <v>124315.96666666666</v>
      </c>
      <c r="L15" s="26">
        <f>SUM(L5:L14)</f>
        <v>2303818.1</v>
      </c>
      <c r="M15" s="46">
        <f t="shared" si="3"/>
        <v>127989.89444444445</v>
      </c>
    </row>
    <row r="16" spans="2:14">
      <c r="D16" s="42"/>
      <c r="G16" s="42"/>
      <c r="J16" s="42"/>
      <c r="M16" s="42"/>
    </row>
    <row r="17" spans="2:14" ht="15.6">
      <c r="B17" s="27" t="s">
        <v>26</v>
      </c>
      <c r="D17" s="42"/>
      <c r="G17" s="42"/>
      <c r="J17" s="42"/>
      <c r="M17" s="42"/>
    </row>
    <row r="18" spans="2:14" ht="15.6">
      <c r="B18" s="16"/>
      <c r="C18" s="17" t="s">
        <v>23</v>
      </c>
      <c r="D18" s="43" t="s">
        <v>56</v>
      </c>
      <c r="E18" s="19"/>
      <c r="F18" s="17" t="s">
        <v>23</v>
      </c>
      <c r="G18" s="43" t="s">
        <v>56</v>
      </c>
      <c r="H18" s="19"/>
      <c r="I18" s="17" t="s">
        <v>23</v>
      </c>
      <c r="J18" s="43" t="s">
        <v>56</v>
      </c>
      <c r="K18" s="19"/>
      <c r="L18" s="17" t="s">
        <v>23</v>
      </c>
      <c r="M18" s="43" t="s">
        <v>56</v>
      </c>
      <c r="N18" s="19"/>
    </row>
    <row r="19" spans="2:14" ht="15.6">
      <c r="B19" s="20"/>
      <c r="C19" s="23"/>
      <c r="D19" s="22">
        <f t="shared" si="0"/>
        <v>0</v>
      </c>
      <c r="E19" s="19"/>
      <c r="F19" s="23"/>
      <c r="G19" s="22">
        <f t="shared" ref="G19:G30" si="4">F19/$D$1</f>
        <v>0</v>
      </c>
      <c r="H19" s="19"/>
      <c r="I19" s="23"/>
      <c r="J19" s="22">
        <f t="shared" ref="J19:J30" si="5">I19/$D$1</f>
        <v>0</v>
      </c>
      <c r="K19" s="19"/>
      <c r="L19" s="23"/>
      <c r="M19" s="22">
        <f t="shared" ref="M19:M30" si="6">L19/$D$1</f>
        <v>0</v>
      </c>
      <c r="N19" s="19"/>
    </row>
    <row r="20" spans="2:14" ht="15.6">
      <c r="B20" s="20" t="s">
        <v>114</v>
      </c>
      <c r="C20" s="23">
        <v>4710</v>
      </c>
      <c r="D20" s="22">
        <f t="shared" si="0"/>
        <v>261.66666666666669</v>
      </c>
      <c r="E20" s="19"/>
      <c r="F20" s="23">
        <v>4804</v>
      </c>
      <c r="G20" s="22">
        <f t="shared" si="4"/>
        <v>266.88888888888891</v>
      </c>
      <c r="H20" s="19"/>
      <c r="I20" s="23">
        <v>4900</v>
      </c>
      <c r="J20" s="22">
        <f t="shared" si="5"/>
        <v>272.22222222222223</v>
      </c>
      <c r="K20" s="19"/>
      <c r="L20" s="23">
        <v>4998</v>
      </c>
      <c r="M20" s="22">
        <f t="shared" si="6"/>
        <v>277.66666666666669</v>
      </c>
      <c r="N20" s="19"/>
    </row>
    <row r="21" spans="2:14" ht="15.6">
      <c r="B21" s="20" t="s">
        <v>115</v>
      </c>
      <c r="C21" s="23">
        <v>24948</v>
      </c>
      <c r="D21" s="22">
        <f t="shared" si="0"/>
        <v>1386</v>
      </c>
      <c r="E21" s="19"/>
      <c r="F21" s="23">
        <v>25446.959999999999</v>
      </c>
      <c r="G21" s="22">
        <f t="shared" si="4"/>
        <v>1413.72</v>
      </c>
      <c r="H21" s="19"/>
      <c r="I21" s="23">
        <v>25955.8992</v>
      </c>
      <c r="J21" s="22">
        <f t="shared" si="5"/>
        <v>1441.9944</v>
      </c>
      <c r="K21" s="19"/>
      <c r="L21" s="23">
        <v>26475.017184</v>
      </c>
      <c r="M21" s="22">
        <f t="shared" si="6"/>
        <v>1470.834288</v>
      </c>
      <c r="N21" s="19"/>
    </row>
    <row r="22" spans="2:14" ht="15.6">
      <c r="B22" s="20" t="s">
        <v>116</v>
      </c>
      <c r="C22" s="23">
        <v>4050</v>
      </c>
      <c r="D22" s="22">
        <f t="shared" si="0"/>
        <v>225</v>
      </c>
      <c r="E22" s="19"/>
      <c r="F22" s="23">
        <v>4131</v>
      </c>
      <c r="G22" s="22">
        <f t="shared" si="4"/>
        <v>229.5</v>
      </c>
      <c r="H22" s="19"/>
      <c r="I22" s="23">
        <v>4214</v>
      </c>
      <c r="J22" s="22">
        <f t="shared" si="5"/>
        <v>234.11111111111111</v>
      </c>
      <c r="K22" s="19"/>
      <c r="L22" s="23">
        <v>4298</v>
      </c>
      <c r="M22" s="22">
        <f t="shared" si="6"/>
        <v>238.77777777777777</v>
      </c>
      <c r="N22" s="19"/>
    </row>
    <row r="23" spans="2:14" ht="15.6">
      <c r="B23" s="20" t="s">
        <v>45</v>
      </c>
      <c r="C23" s="23">
        <v>51511</v>
      </c>
      <c r="D23" s="22">
        <f t="shared" si="0"/>
        <v>2861.7222222222222</v>
      </c>
      <c r="E23" s="19"/>
      <c r="F23" s="23">
        <v>52542</v>
      </c>
      <c r="G23" s="22">
        <f t="shared" si="4"/>
        <v>2919</v>
      </c>
      <c r="H23" s="19"/>
      <c r="I23" s="23">
        <v>53592</v>
      </c>
      <c r="J23" s="22">
        <f t="shared" si="5"/>
        <v>2977.3333333333335</v>
      </c>
      <c r="K23" s="19"/>
      <c r="L23" s="23">
        <v>54664</v>
      </c>
      <c r="M23" s="22">
        <f t="shared" si="6"/>
        <v>3036.8888888888887</v>
      </c>
      <c r="N23" s="19"/>
    </row>
    <row r="24" spans="2:14" ht="15.6">
      <c r="B24" s="20" t="s">
        <v>117</v>
      </c>
      <c r="C24" s="23">
        <v>31752.000000000004</v>
      </c>
      <c r="D24" s="22">
        <f t="shared" si="0"/>
        <v>1764.0000000000002</v>
      </c>
      <c r="E24" s="19"/>
      <c r="F24" s="23">
        <v>32387.040000000005</v>
      </c>
      <c r="G24" s="22">
        <f t="shared" si="4"/>
        <v>1799.2800000000002</v>
      </c>
      <c r="H24" s="19"/>
      <c r="I24" s="23">
        <v>33034.780800000008</v>
      </c>
      <c r="J24" s="22">
        <f t="shared" si="5"/>
        <v>1835.2656000000004</v>
      </c>
      <c r="K24" s="19"/>
      <c r="L24" s="23">
        <v>33695.476416000005</v>
      </c>
      <c r="M24" s="22">
        <f t="shared" si="6"/>
        <v>1871.9709120000002</v>
      </c>
      <c r="N24" s="19"/>
    </row>
    <row r="25" spans="2:14" ht="15.6">
      <c r="B25" s="20"/>
      <c r="C25" s="23"/>
      <c r="D25" s="22">
        <f t="shared" si="0"/>
        <v>0</v>
      </c>
      <c r="E25" s="19"/>
      <c r="F25" s="23"/>
      <c r="G25" s="22">
        <f t="shared" si="4"/>
        <v>0</v>
      </c>
      <c r="H25" s="19"/>
      <c r="I25" s="23"/>
      <c r="J25" s="22">
        <f t="shared" si="5"/>
        <v>0</v>
      </c>
      <c r="K25" s="19"/>
      <c r="L25" s="23"/>
      <c r="M25" s="22">
        <f t="shared" si="6"/>
        <v>0</v>
      </c>
      <c r="N25" s="19"/>
    </row>
    <row r="26" spans="2:14" ht="15.6">
      <c r="B26" s="20" t="s">
        <v>113</v>
      </c>
      <c r="C26" s="23">
        <f>E26*C15</f>
        <v>60142.784000000007</v>
      </c>
      <c r="D26" s="44">
        <f t="shared" si="0"/>
        <v>3341.2657777777781</v>
      </c>
      <c r="E26" s="24">
        <v>0.04</v>
      </c>
      <c r="F26" s="23">
        <f>H26*F15</f>
        <v>83454.741999999998</v>
      </c>
      <c r="G26" s="44">
        <f t="shared" si="4"/>
        <v>4636.3745555555552</v>
      </c>
      <c r="H26" s="24">
        <v>0.04</v>
      </c>
      <c r="I26" s="23">
        <f>K26*I15</f>
        <v>89507.495999999999</v>
      </c>
      <c r="J26" s="44">
        <f t="shared" si="5"/>
        <v>4972.6386666666667</v>
      </c>
      <c r="K26" s="24">
        <v>0.04</v>
      </c>
      <c r="L26" s="23">
        <f>N26*L15</f>
        <v>92152.724000000002</v>
      </c>
      <c r="M26" s="44">
        <f t="shared" si="6"/>
        <v>5119.5957777777776</v>
      </c>
      <c r="N26" s="24">
        <v>0.04</v>
      </c>
    </row>
    <row r="27" spans="2:14" ht="15.6">
      <c r="B27" s="20" t="s">
        <v>32</v>
      </c>
      <c r="C27" s="23">
        <v>106252</v>
      </c>
      <c r="D27" s="22">
        <f t="shared" si="0"/>
        <v>5902.8888888888887</v>
      </c>
      <c r="E27" s="24"/>
      <c r="F27" s="23">
        <v>108377</v>
      </c>
      <c r="G27" s="22">
        <f t="shared" si="4"/>
        <v>6020.9444444444443</v>
      </c>
      <c r="H27" s="24"/>
      <c r="I27" s="23">
        <v>110545</v>
      </c>
      <c r="J27" s="22">
        <f t="shared" si="5"/>
        <v>6141.3888888888887</v>
      </c>
      <c r="K27" s="24"/>
      <c r="L27" s="23">
        <v>112756</v>
      </c>
      <c r="M27" s="22">
        <f t="shared" si="6"/>
        <v>6264.2222222222226</v>
      </c>
      <c r="N27" s="24"/>
    </row>
    <row r="28" spans="2:14" ht="15.6">
      <c r="B28" s="20" t="s">
        <v>31</v>
      </c>
      <c r="C28" s="23">
        <v>216000</v>
      </c>
      <c r="D28" s="22">
        <f t="shared" si="0"/>
        <v>12000</v>
      </c>
      <c r="E28" s="24"/>
      <c r="F28" s="23">
        <v>220320</v>
      </c>
      <c r="G28" s="22">
        <f t="shared" si="4"/>
        <v>12240</v>
      </c>
      <c r="H28" s="24"/>
      <c r="I28" s="23">
        <v>224726</v>
      </c>
      <c r="J28" s="22">
        <f t="shared" si="5"/>
        <v>12484.777777777777</v>
      </c>
      <c r="K28" s="24"/>
      <c r="L28" s="23">
        <v>235963</v>
      </c>
      <c r="M28" s="22">
        <f t="shared" si="6"/>
        <v>13109.055555555555</v>
      </c>
      <c r="N28" s="24"/>
    </row>
    <row r="29" spans="2:14" ht="15.6">
      <c r="B29" s="20" t="s">
        <v>33</v>
      </c>
      <c r="C29" s="23">
        <v>141347</v>
      </c>
      <c r="D29" s="22">
        <f t="shared" si="0"/>
        <v>7852.6111111111113</v>
      </c>
      <c r="E29" s="19"/>
      <c r="F29" s="23">
        <v>144173.94</v>
      </c>
      <c r="G29" s="22">
        <f t="shared" si="4"/>
        <v>8009.6633333333339</v>
      </c>
      <c r="H29" s="19"/>
      <c r="I29" s="23">
        <v>147057.41880000001</v>
      </c>
      <c r="J29" s="22">
        <f t="shared" si="5"/>
        <v>8169.856600000001</v>
      </c>
      <c r="K29" s="19"/>
      <c r="L29" s="23">
        <v>149998.56717600001</v>
      </c>
      <c r="M29" s="22">
        <f t="shared" si="6"/>
        <v>8333.253732000001</v>
      </c>
      <c r="N29" s="19"/>
    </row>
    <row r="30" spans="2:14" ht="15.6">
      <c r="B30" s="20" t="s">
        <v>118</v>
      </c>
      <c r="C30" s="23">
        <v>16200</v>
      </c>
      <c r="D30" s="22">
        <f t="shared" si="0"/>
        <v>900</v>
      </c>
      <c r="E30" s="19"/>
      <c r="F30" s="23">
        <v>16200</v>
      </c>
      <c r="G30" s="22">
        <f t="shared" si="4"/>
        <v>900</v>
      </c>
      <c r="H30" s="19"/>
      <c r="I30" s="23">
        <v>16200</v>
      </c>
      <c r="J30" s="22">
        <f t="shared" si="5"/>
        <v>900</v>
      </c>
      <c r="K30" s="19"/>
      <c r="L30" s="23">
        <v>16200</v>
      </c>
      <c r="M30" s="22">
        <f t="shared" si="6"/>
        <v>900</v>
      </c>
      <c r="N30" s="19"/>
    </row>
    <row r="31" spans="2:14" ht="15.6">
      <c r="B31" s="25" t="s">
        <v>23</v>
      </c>
      <c r="C31" s="26">
        <f>SUM(C19:C30)</f>
        <v>656912.78399999999</v>
      </c>
      <c r="D31" s="46">
        <f>C31/$D$1</f>
        <v>36495.154666666669</v>
      </c>
      <c r="F31" s="26">
        <f>SUM(F19:F30)</f>
        <v>691836.68200000003</v>
      </c>
      <c r="G31" s="46">
        <f>F31/$D$1</f>
        <v>38435.371222222224</v>
      </c>
      <c r="I31" s="26">
        <f>SUM(I19:I30)</f>
        <v>709732.59479999996</v>
      </c>
      <c r="J31" s="46">
        <f>I31/$D$1</f>
        <v>39429.588599999995</v>
      </c>
      <c r="L31" s="26">
        <f>SUM(L19:L30)</f>
        <v>731200.78477599996</v>
      </c>
      <c r="M31" s="46">
        <f>L31/$D$1</f>
        <v>40622.26582088889</v>
      </c>
    </row>
    <row r="32" spans="2:14">
      <c r="D32" s="45"/>
      <c r="G32" s="45"/>
      <c r="J32" s="45"/>
      <c r="M32" s="45"/>
    </row>
    <row r="33" spans="1:13">
      <c r="D33" s="45"/>
      <c r="G33" s="45"/>
      <c r="J33" s="45"/>
      <c r="M33" s="45"/>
    </row>
    <row r="34" spans="1:13" ht="15.6">
      <c r="B34" s="27" t="s">
        <v>55</v>
      </c>
      <c r="C34" s="26">
        <f>C15-C31</f>
        <v>846656.81600000011</v>
      </c>
      <c r="D34" s="46">
        <f t="shared" si="0"/>
        <v>47036.489777777781</v>
      </c>
      <c r="F34" s="26">
        <f>F15-F31</f>
        <v>1394531.868</v>
      </c>
      <c r="G34" s="46">
        <f t="shared" ref="G34" si="7">F34/$D$1</f>
        <v>77473.992666666672</v>
      </c>
      <c r="I34" s="26">
        <f>I15-I31</f>
        <v>1527954.8051999998</v>
      </c>
      <c r="J34" s="46">
        <f t="shared" ref="J34" si="8">I34/$D$1</f>
        <v>84886.378066666657</v>
      </c>
      <c r="L34" s="26">
        <f>L15-L31</f>
        <v>1572617.3152240003</v>
      </c>
      <c r="M34" s="46">
        <f t="shared" ref="M34" si="9">L34/$D$1</f>
        <v>87367.628623555574</v>
      </c>
    </row>
    <row r="37" spans="1:13">
      <c r="A37" t="s">
        <v>120</v>
      </c>
      <c r="B37" s="103">
        <v>0.06</v>
      </c>
      <c r="C37" s="42">
        <f>C34/$B$37</f>
        <v>14110946.933333335</v>
      </c>
      <c r="F37" s="42">
        <f>F34/$B$37</f>
        <v>23242197.800000001</v>
      </c>
      <c r="I37" s="42">
        <f>I34/$B$37</f>
        <v>25465913.419999998</v>
      </c>
      <c r="L37" s="42">
        <f>L34/$B$37</f>
        <v>26210288.587066673</v>
      </c>
    </row>
    <row r="38" spans="1:13">
      <c r="A38" t="s">
        <v>120</v>
      </c>
      <c r="B38" s="103">
        <v>6.5000000000000002E-2</v>
      </c>
      <c r="C38" s="42">
        <f>C34/$B$38</f>
        <v>13025489.476923078</v>
      </c>
      <c r="F38" s="42">
        <f>F34/$B$38</f>
        <v>21454336.430769231</v>
      </c>
      <c r="I38" s="42">
        <f>I34/$B$38</f>
        <v>23506997.003076918</v>
      </c>
      <c r="L38" s="42">
        <f>L34/$B$38</f>
        <v>24194112.541907694</v>
      </c>
    </row>
    <row r="40" spans="1:13">
      <c r="A40" t="s">
        <v>121</v>
      </c>
      <c r="B40" s="104">
        <f>0.75*13000000+4139880</f>
        <v>13889880</v>
      </c>
      <c r="C40" s="105">
        <f>C34/$B$40</f>
        <v>6.0954941007409717E-2</v>
      </c>
      <c r="F40" s="105">
        <f>F34/$B$40</f>
        <v>0.1003991300140822</v>
      </c>
      <c r="I40" s="105">
        <f>I34/$B$40</f>
        <v>0.11000489602501964</v>
      </c>
      <c r="L40" s="105">
        <f>L34/$B$40</f>
        <v>0.11322036729071815</v>
      </c>
    </row>
    <row r="41" spans="1:13">
      <c r="A41" t="s">
        <v>121</v>
      </c>
      <c r="B41" s="104">
        <f>0.7*13000000+4139880</f>
        <v>13239880</v>
      </c>
      <c r="C41" s="105">
        <f>C34/$B$41</f>
        <v>6.3947469010293148E-2</v>
      </c>
      <c r="F41" s="105">
        <f>F34/$B$41</f>
        <v>0.1053281349982024</v>
      </c>
      <c r="I41" s="105">
        <f>I34/$B$41</f>
        <v>0.11540548745154788</v>
      </c>
      <c r="L41" s="105">
        <f>L34/$B$41</f>
        <v>0.11877881938688269</v>
      </c>
    </row>
  </sheetData>
  <mergeCells count="4">
    <mergeCell ref="C3:D3"/>
    <mergeCell ref="F3:G3"/>
    <mergeCell ref="I3:J3"/>
    <mergeCell ref="L3:M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RR</vt:lpstr>
      <vt:lpstr>P&amp;L</vt:lpstr>
      <vt:lpstr>Operating Budget</vt:lpstr>
    </vt:vector>
  </TitlesOfParts>
  <Company>ACM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ACM</dc:creator>
  <cp:lastModifiedBy>Frasz, David</cp:lastModifiedBy>
  <cp:lastPrinted>2020-05-08T19:44:32Z</cp:lastPrinted>
  <dcterms:created xsi:type="dcterms:W3CDTF">2018-05-11T20:32:55Z</dcterms:created>
  <dcterms:modified xsi:type="dcterms:W3CDTF">2024-10-18T12:57:13Z</dcterms:modified>
</cp:coreProperties>
</file>